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40" windowHeight="11745" activeTab="0"/>
  </bookViews>
  <sheets>
    <sheet name="A水中" sheetId="1" r:id="rId1"/>
    <sheet name="B封かん" sheetId="2" r:id="rId2"/>
    <sheet name="C" sheetId="3" r:id="rId3"/>
    <sheet name="D" sheetId="4" r:id="rId4"/>
  </sheets>
  <definedNames>
    <definedName name="_xlnm.Print_Area" localSheetId="0">'A水中'!$A$1:$V$69</definedName>
    <definedName name="_xlnm.Print_Area" localSheetId="1">'B封かん'!$A$1:$V$69</definedName>
    <definedName name="_xlnm.Print_Area" localSheetId="2">'C'!$A$1:$V$69</definedName>
    <definedName name="_xlnm.Print_Area" localSheetId="3">'D'!$A$1:$V$69</definedName>
  </definedNames>
  <calcPr fullCalcOnLoad="1"/>
</workbook>
</file>

<file path=xl/sharedStrings.xml><?xml version="1.0" encoding="utf-8"?>
<sst xmlns="http://schemas.openxmlformats.org/spreadsheetml/2006/main" count="468" uniqueCount="92">
  <si>
    <t>伝搬時間(μs)</t>
  </si>
  <si>
    <t>伝播時間(sec)</t>
  </si>
  <si>
    <t>x0=</t>
  </si>
  <si>
    <t>記号</t>
  </si>
  <si>
    <t>長手方向　</t>
  </si>
  <si>
    <t>μs(      mm)</t>
  </si>
  <si>
    <t>m/s</t>
  </si>
  <si>
    <t>深さ</t>
  </si>
  <si>
    <t>時間</t>
  </si>
  <si>
    <t>音速</t>
  </si>
  <si>
    <t>備考</t>
  </si>
  <si>
    <t>直径</t>
  </si>
  <si>
    <t>延長</t>
  </si>
  <si>
    <t>平均</t>
  </si>
  <si>
    <t>番迄</t>
  </si>
  <si>
    <t>m1</t>
  </si>
  <si>
    <t>m2</t>
  </si>
  <si>
    <t>K</t>
  </si>
  <si>
    <t>H0</t>
  </si>
  <si>
    <t>L(mm)</t>
  </si>
  <si>
    <t>texp(sec)</t>
  </si>
  <si>
    <t>tcal(sec)</t>
  </si>
  <si>
    <t>a</t>
  </si>
  <si>
    <t>Hi(mm)</t>
  </si>
  <si>
    <t>k(h0+hi)^(1/ 10 )</t>
  </si>
  <si>
    <t>収束計算結果</t>
  </si>
  <si>
    <t>残差平方和最小値</t>
  </si>
  <si>
    <t>表層伝搬領域データ</t>
  </si>
  <si>
    <t>残差平方和</t>
  </si>
  <si>
    <t>材齢係数</t>
  </si>
  <si>
    <t>強度推定係数</t>
  </si>
  <si>
    <t>打設日</t>
  </si>
  <si>
    <t>コンクリート強度データ</t>
  </si>
  <si>
    <t>試験日</t>
  </si>
  <si>
    <r>
      <t>強度(N/mm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</si>
  <si>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工事・現場名</t>
  </si>
  <si>
    <t>伝搬時間
(μs)</t>
  </si>
  <si>
    <t>円柱長(mm)</t>
  </si>
  <si>
    <t>伝搬速度(m/s)</t>
  </si>
  <si>
    <t>推定強度(測定時)</t>
  </si>
  <si>
    <t>測定年月日</t>
  </si>
  <si>
    <t>円柱試験回数</t>
  </si>
  <si>
    <t>回</t>
  </si>
  <si>
    <t>日</t>
  </si>
  <si>
    <t>打設年月日</t>
  </si>
  <si>
    <t>推定材齢</t>
  </si>
  <si>
    <t>見かけの伝搬
速度(m/sec)</t>
  </si>
  <si>
    <t>材齢28日強度</t>
  </si>
  <si>
    <t>材齢(日)</t>
  </si>
  <si>
    <t>表層部の最大音速</t>
  </si>
  <si>
    <t>m/sec(vmaxs)です。 No.</t>
  </si>
  <si>
    <t>音速一定部の平均音速</t>
  </si>
  <si>
    <t>m/sec(vlevel)</t>
  </si>
  <si>
    <t>音速一定部の音速を一次近似します。</t>
  </si>
  <si>
    <t xml:space="preserve"> 直線部の音速は</t>
  </si>
  <si>
    <t>x+</t>
  </si>
  <si>
    <t>(m/s)で近似されます。</t>
  </si>
  <si>
    <t xml:space="preserve"> 交点は  x=</t>
  </si>
  <si>
    <t>mmで平均音速</t>
  </si>
  <si>
    <t>m/sec</t>
  </si>
  <si>
    <t>μsです。</t>
  </si>
  <si>
    <t>時間補正値(μs)</t>
  </si>
  <si>
    <t xml:space="preserve">強度回帰 </t>
  </si>
  <si>
    <t>強度</t>
  </si>
  <si>
    <t>No.</t>
  </si>
  <si>
    <t>探触子
間隔(mm)</t>
  </si>
  <si>
    <t>探触子補正
間隔(mm)</t>
  </si>
  <si>
    <t>"</t>
  </si>
  <si>
    <t>mm</t>
  </si>
  <si>
    <t>α=</t>
  </si>
  <si>
    <t xml:space="preserve"> 除外データ番号 </t>
  </si>
  <si>
    <t>X</t>
  </si>
  <si>
    <t>Y</t>
  </si>
  <si>
    <r>
      <t>V</t>
    </r>
    <r>
      <rPr>
        <sz val="11"/>
        <rFont val="ＭＳ Ｐゴシック"/>
        <family val="3"/>
      </rPr>
      <t>=</t>
    </r>
  </si>
  <si>
    <r>
      <t>f</t>
    </r>
    <r>
      <rPr>
        <vertAlign val="subscript"/>
        <sz val="11"/>
        <rFont val="ＭＳ Ｐゴシック"/>
        <family val="3"/>
      </rPr>
      <t>c 28</t>
    </r>
    <r>
      <rPr>
        <sz val="11"/>
        <rFont val="ＭＳ Ｐゴシック"/>
        <family val="3"/>
      </rPr>
      <t>=</t>
    </r>
  </si>
  <si>
    <r>
      <t>N/mm</t>
    </r>
    <r>
      <rPr>
        <vertAlign val="superscript"/>
        <sz val="11"/>
        <rFont val="ＭＳ Ｐゴシック"/>
        <family val="3"/>
      </rPr>
      <t>2</t>
    </r>
  </si>
  <si>
    <t>測定材齢</t>
  </si>
  <si>
    <t>a</t>
  </si>
  <si>
    <t>K1</t>
  </si>
  <si>
    <t>b</t>
  </si>
  <si>
    <t>K2</t>
  </si>
  <si>
    <r>
      <t>r</t>
    </r>
    <r>
      <rPr>
        <vertAlign val="superscript"/>
        <sz val="11"/>
        <rFont val="ＭＳ Ｐゴシック"/>
        <family val="3"/>
      </rPr>
      <t>2</t>
    </r>
  </si>
  <si>
    <t>α</t>
  </si>
  <si>
    <t>β</t>
  </si>
  <si>
    <r>
      <t>f</t>
    </r>
    <r>
      <rPr>
        <vertAlign val="subscript"/>
        <sz val="11"/>
        <rFont val="ＭＳ Ｐゴシック"/>
        <family val="3"/>
      </rPr>
      <t>c28</t>
    </r>
    <r>
      <rPr>
        <sz val="11"/>
        <rFont val="ＭＳ Ｐゴシック"/>
        <family val="3"/>
      </rPr>
      <t>=</t>
    </r>
  </si>
  <si>
    <t>封かん養生ならば０を，水中養生ならば１を代入</t>
  </si>
  <si>
    <t>推定強度(任意材例)</t>
  </si>
  <si>
    <t>データ</t>
  </si>
  <si>
    <t>個数</t>
  </si>
  <si>
    <r>
      <t>材齢28日強度</t>
    </r>
    <r>
      <rPr>
        <sz val="11"/>
        <color indexed="14"/>
        <rFont val="ＭＳ Ｐゴシック"/>
        <family val="3"/>
      </rPr>
      <t>（基準材齢に補正した値）</t>
    </r>
  </si>
  <si>
    <t>（構造体コンクリート強度）</t>
  </si>
  <si>
    <r>
      <t>f</t>
    </r>
    <r>
      <rPr>
        <vertAlign val="subscript"/>
        <sz val="11"/>
        <rFont val="ＭＳ Ｐゴシック"/>
        <family val="3"/>
      </rPr>
      <t xml:space="preserve">c </t>
    </r>
    <r>
      <rPr>
        <sz val="11"/>
        <rFont val="ＭＳ Ｐゴシック"/>
        <family val="3"/>
      </rPr>
      <t>=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</si>
</sst>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.0"/>
    <numFmt numFmtId="179" formatCode="0.000"/>
    <numFmt numFmtId="180" formatCode="0.0000"/>
    <numFmt numFmtId="181" formatCode="0.000E+00"/>
    <numFmt numFmtId="182" formatCode="0.0000E+00"/>
    <numFmt numFmtId="183" formatCode="0.0E+00"/>
    <numFmt numFmtId="184" formatCode="0E+00"/>
    <numFmt numFmtId="185" formatCode="0.00000000_ "/>
    <numFmt numFmtId="186" formatCode="0.00_);[Red]\(0.00\)"/>
    <numFmt numFmtId="187" formatCode="0.0_);[Red]\(0.0\)"/>
    <numFmt numFmtId="188" formatCode="0.000%"/>
    <numFmt numFmtId="189" formatCode="0.0000_);[Red]\(0.0000\)"/>
    <numFmt numFmtId="190" formatCode="&quot;¥&quot;#,##0;&quot;¥&quot;\!\-#,##0"/>
    <numFmt numFmtId="191" formatCode="&quot;¥&quot;#,##0;[Red]&quot;¥&quot;\!\-#,##0"/>
    <numFmt numFmtId="192" formatCode="&quot;¥&quot;#,##0.00;&quot;¥&quot;\!\-#,##0.00"/>
    <numFmt numFmtId="193" formatCode="&quot;¥&quot;#,##0.00;[Red]&quot;¥&quot;\!\-#,##0.00"/>
    <numFmt numFmtId="194" formatCode="_ &quot;¥&quot;* #,##0_ ;_ &quot;¥&quot;* \!\-#,##0_ ;_ &quot;¥&quot;* &quot;-&quot;_ ;_ @_ "/>
    <numFmt numFmtId="195" formatCode="_ * #,##0_ ;_ * \!\-#,##0_ ;_ * &quot;-&quot;_ ;_ @_ "/>
    <numFmt numFmtId="196" formatCode="_ &quot;¥&quot;* #,##0.00_ ;_ &quot;¥&quot;* \!\-#,##0.00_ ;_ &quot;¥&quot;* &quot;-&quot;??_ ;_ @_ "/>
    <numFmt numFmtId="197" formatCode="_ * #,##0.00_ ;_ * \!\-#,##0.00_ ;_ * &quot;-&quot;??_ ;_ @_ "/>
    <numFmt numFmtId="198" formatCode="\!\$#,##0_);\!\(\!\$#,##0\!\)"/>
    <numFmt numFmtId="199" formatCode="\!\$#,##0_);[Red]\!\(\!\$#,##0\!\)"/>
    <numFmt numFmtId="200" formatCode="\!\$#,##0.00_);\!\(\!\$#,##0.00\!\)"/>
    <numFmt numFmtId="201" formatCode="\!\$#,##0.00_);[Red]\!\(\!\$#,##0.00\!\)"/>
    <numFmt numFmtId="202" formatCode="&quot;¥&quot;#,##0;&quot;¥&quot;&quot;¥&quot;\!\-#,##0"/>
    <numFmt numFmtId="203" formatCode="&quot;¥&quot;#,##0;[Red]&quot;¥&quot;&quot;¥&quot;\!\-#,##0"/>
    <numFmt numFmtId="204" formatCode="&quot;¥&quot;#,##0.00;&quot;¥&quot;&quot;¥&quot;\!\-#,##0.00"/>
    <numFmt numFmtId="205" formatCode="&quot;¥&quot;#,##0.00;[Red]&quot;¥&quot;&quot;¥&quot;\!\-#,##0.00"/>
    <numFmt numFmtId="206" formatCode="_ &quot;¥&quot;* #,##0_ ;_ &quot;¥&quot;* &quot;¥&quot;\!\-#,##0_ ;_ &quot;¥&quot;* &quot;-&quot;_ ;_ @_ "/>
    <numFmt numFmtId="207" formatCode="_ * #,##0_ ;_ * &quot;¥&quot;\!\-#,##0_ ;_ * &quot;-&quot;_ ;_ @_ "/>
    <numFmt numFmtId="208" formatCode="_ &quot;¥&quot;* #,##0.00_ ;_ &quot;¥&quot;* &quot;¥&quot;\!\-#,##0.00_ ;_ &quot;¥&quot;* &quot;-&quot;??_ ;_ @_ "/>
    <numFmt numFmtId="209" formatCode="_ * #,##0.00_ ;_ * &quot;¥&quot;\!\-#,##0.00_ ;_ * &quot;-&quot;??_ ;_ @_ "/>
    <numFmt numFmtId="210" formatCode="&quot;¥&quot;\!\$#,##0_);&quot;¥&quot;\!\(&quot;¥&quot;\!\$#,##0&quot;¥&quot;\!\)"/>
    <numFmt numFmtId="211" formatCode="&quot;¥&quot;\!\$#,##0_);[Red]&quot;¥&quot;\!\(&quot;¥&quot;\!\$#,##0&quot;¥&quot;\!\)"/>
    <numFmt numFmtId="212" formatCode="&quot;¥&quot;\!\$#,##0.00_);&quot;¥&quot;\!\(&quot;¥&quot;\!\$#,##0.00&quot;¥&quot;\!\)"/>
    <numFmt numFmtId="213" formatCode="&quot;¥&quot;\!\$#,##0.00_);[Red]&quot;¥&quot;\!\(&quot;¥&quot;\!\$#,##0.00&quot;¥&quot;\!\)"/>
    <numFmt numFmtId="214" formatCode="0.0_);&quot;¥&quot;\!\(0.0&quot;¥&quot;\!\)"/>
    <numFmt numFmtId="215" formatCode="0.000000"/>
    <numFmt numFmtId="216" formatCode="0.0000000"/>
    <numFmt numFmtId="217" formatCode="0.00000"/>
    <numFmt numFmtId="218" formatCode="0_);[Red]\(0\)"/>
    <numFmt numFmtId="219" formatCode="#,##0_);[Red]\(#,##0\)"/>
    <numFmt numFmtId="220" formatCode="#,##0.0;[Red]\-#,##0.0"/>
    <numFmt numFmtId="221" formatCode="#,##0.0_ ;[Red]\-#,##0.0\ "/>
    <numFmt numFmtId="222" formatCode="0.0_ ;[Red]\-0.0\ "/>
    <numFmt numFmtId="223" formatCode="0.0000000000"/>
    <numFmt numFmtId="224" formatCode="0.000000000"/>
    <numFmt numFmtId="225" formatCode="General;\ ;\ "/>
    <numFmt numFmtId="226" formatCode="0.00_ "/>
    <numFmt numFmtId="227" formatCode="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i/>
      <sz val="11"/>
      <name val="CenturyOldst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177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33" borderId="0" xfId="0" applyNumberFormat="1" applyFill="1" applyAlignment="1">
      <alignment shrinkToFit="1"/>
    </xf>
    <xf numFmtId="0" fontId="0" fillId="33" borderId="0" xfId="0" applyFill="1" applyBorder="1" applyAlignment="1">
      <alignment shrinkToFit="1"/>
    </xf>
    <xf numFmtId="2" fontId="0" fillId="34" borderId="0" xfId="0" applyNumberFormat="1" applyFill="1" applyAlignment="1">
      <alignment shrinkToFit="1"/>
    </xf>
    <xf numFmtId="0" fontId="0" fillId="0" borderId="0" xfId="0" applyFont="1" applyBorder="1" applyAlignment="1">
      <alignment/>
    </xf>
    <xf numFmtId="2" fontId="0" fillId="34" borderId="21" xfId="0" applyNumberFormat="1" applyFill="1" applyBorder="1" applyAlignment="1">
      <alignment shrinkToFit="1"/>
    </xf>
    <xf numFmtId="2" fontId="0" fillId="34" borderId="22" xfId="0" applyNumberFormat="1" applyFill="1" applyBorder="1" applyAlignment="1">
      <alignment shrinkToFit="1"/>
    </xf>
    <xf numFmtId="0" fontId="6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33" borderId="24" xfId="0" applyNumberFormat="1" applyFill="1" applyBorder="1" applyAlignment="1" applyProtection="1">
      <alignment shrinkToFit="1"/>
      <protection locked="0"/>
    </xf>
    <xf numFmtId="2" fontId="0" fillId="33" borderId="25" xfId="0" applyNumberFormat="1" applyFill="1" applyBorder="1" applyAlignment="1" applyProtection="1">
      <alignment shrinkToFit="1"/>
      <protection locked="0"/>
    </xf>
    <xf numFmtId="2" fontId="0" fillId="33" borderId="12" xfId="0" applyNumberFormat="1" applyFill="1" applyBorder="1" applyAlignment="1" applyProtection="1">
      <alignment shrinkToFit="1"/>
      <protection locked="0"/>
    </xf>
    <xf numFmtId="2" fontId="0" fillId="33" borderId="13" xfId="0" applyNumberFormat="1" applyFill="1" applyBorder="1" applyAlignment="1" applyProtection="1">
      <alignment shrinkToFit="1"/>
      <protection locked="0"/>
    </xf>
    <xf numFmtId="2" fontId="0" fillId="33" borderId="14" xfId="0" applyNumberFormat="1" applyFill="1" applyBorder="1" applyAlignment="1" applyProtection="1">
      <alignment shrinkToFit="1"/>
      <protection locked="0"/>
    </xf>
    <xf numFmtId="2" fontId="0" fillId="33" borderId="26" xfId="0" applyNumberFormat="1" applyFill="1" applyBorder="1" applyAlignment="1" applyProtection="1">
      <alignment shrinkToFit="1"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2" fontId="0" fillId="33" borderId="25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4" xfId="0" applyNumberFormat="1" applyFill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/>
      <protection locked="0"/>
    </xf>
    <xf numFmtId="178" fontId="0" fillId="33" borderId="24" xfId="0" applyNumberFormat="1" applyFill="1" applyBorder="1" applyAlignment="1" applyProtection="1">
      <alignment/>
      <protection locked="0"/>
    </xf>
    <xf numFmtId="178" fontId="0" fillId="33" borderId="25" xfId="0" applyNumberFormat="1" applyFill="1" applyBorder="1" applyAlignment="1" applyProtection="1">
      <alignment/>
      <protection locked="0"/>
    </xf>
    <xf numFmtId="178" fontId="0" fillId="33" borderId="12" xfId="0" applyNumberFormat="1" applyFill="1" applyBorder="1" applyAlignment="1" applyProtection="1">
      <alignment/>
      <protection locked="0"/>
    </xf>
    <xf numFmtId="178" fontId="0" fillId="33" borderId="13" xfId="0" applyNumberFormat="1" applyFill="1" applyBorder="1" applyAlignment="1" applyProtection="1">
      <alignment/>
      <protection locked="0"/>
    </xf>
    <xf numFmtId="178" fontId="0" fillId="33" borderId="14" xfId="0" applyNumberFormat="1" applyFill="1" applyBorder="1" applyAlignment="1" applyProtection="1">
      <alignment/>
      <protection locked="0"/>
    </xf>
    <xf numFmtId="178" fontId="0" fillId="33" borderId="26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0" xfId="0" applyBorder="1" applyAlignment="1" applyProtection="1">
      <alignment shrinkToFit="1"/>
      <protection hidden="1" locked="0"/>
    </xf>
    <xf numFmtId="2" fontId="0" fillId="0" borderId="10" xfId="0" applyNumberFormat="1" applyBorder="1" applyAlignment="1" applyProtection="1">
      <alignment shrinkToFit="1"/>
      <protection hidden="1" locked="0"/>
    </xf>
    <xf numFmtId="224" fontId="0" fillId="0" borderId="10" xfId="0" applyNumberFormat="1" applyBorder="1" applyAlignment="1" applyProtection="1">
      <alignment shrinkToFit="1"/>
      <protection hidden="1" locked="0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5" borderId="10" xfId="0" applyFill="1" applyBorder="1" applyAlignment="1">
      <alignment/>
    </xf>
    <xf numFmtId="0" fontId="6" fillId="0" borderId="29" xfId="0" applyFont="1" applyBorder="1" applyAlignment="1">
      <alignment horizontal="right"/>
    </xf>
    <xf numFmtId="0" fontId="0" fillId="0" borderId="0" xfId="0" applyAlignment="1">
      <alignment horizontal="center"/>
    </xf>
    <xf numFmtId="2" fontId="0" fillId="34" borderId="30" xfId="0" applyNumberFormat="1" applyFill="1" applyBorder="1" applyAlignment="1">
      <alignment shrinkToFit="1"/>
    </xf>
    <xf numFmtId="2" fontId="0" fillId="34" borderId="31" xfId="0" applyNumberFormat="1" applyFill="1" applyBorder="1" applyAlignment="1">
      <alignment shrinkToFit="1"/>
    </xf>
    <xf numFmtId="2" fontId="0" fillId="34" borderId="32" xfId="0" applyNumberFormat="1" applyFill="1" applyBorder="1" applyAlignment="1">
      <alignment shrinkToFit="1"/>
    </xf>
    <xf numFmtId="2" fontId="0" fillId="34" borderId="33" xfId="0" applyNumberFormat="1" applyFill="1" applyBorder="1" applyAlignment="1">
      <alignment shrinkToFit="1"/>
    </xf>
    <xf numFmtId="2" fontId="0" fillId="34" borderId="34" xfId="0" applyNumberFormat="1" applyFill="1" applyBorder="1" applyAlignment="1">
      <alignment shrinkToFit="1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178" fontId="0" fillId="33" borderId="45" xfId="0" applyNumberFormat="1" applyFill="1" applyBorder="1" applyAlignment="1" applyProtection="1">
      <alignment/>
      <protection locked="0"/>
    </xf>
    <xf numFmtId="178" fontId="0" fillId="33" borderId="46" xfId="0" applyNumberFormat="1" applyFill="1" applyBorder="1" applyAlignment="1" applyProtection="1">
      <alignment/>
      <protection locked="0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218" fontId="0" fillId="34" borderId="10" xfId="0" applyNumberFormat="1" applyFill="1" applyBorder="1" applyAlignment="1">
      <alignment horizontal="right" vertical="center"/>
    </xf>
    <xf numFmtId="178" fontId="0" fillId="33" borderId="50" xfId="0" applyNumberFormat="1" applyFill="1" applyBorder="1" applyAlignment="1" applyProtection="1">
      <alignment/>
      <protection locked="0"/>
    </xf>
    <xf numFmtId="0" fontId="7" fillId="0" borderId="51" xfId="0" applyFont="1" applyBorder="1" applyAlignment="1">
      <alignment horizontal="center" wrapText="1"/>
    </xf>
    <xf numFmtId="178" fontId="0" fillId="33" borderId="18" xfId="0" applyNumberFormat="1" applyFill="1" applyBorder="1" applyAlignment="1" applyProtection="1">
      <alignment horizontal="right"/>
      <protection locked="0"/>
    </xf>
    <xf numFmtId="178" fontId="0" fillId="33" borderId="19" xfId="0" applyNumberFormat="1" applyFill="1" applyBorder="1" applyAlignment="1" applyProtection="1">
      <alignment horizontal="right"/>
      <protection locked="0"/>
    </xf>
    <xf numFmtId="0" fontId="0" fillId="0" borderId="0" xfId="0" applyNumberFormat="1" applyAlignment="1">
      <alignment wrapText="1"/>
    </xf>
    <xf numFmtId="227" fontId="0" fillId="33" borderId="18" xfId="0" applyNumberFormat="1" applyFill="1" applyBorder="1" applyAlignment="1" applyProtection="1">
      <alignment/>
      <protection locked="0"/>
    </xf>
    <xf numFmtId="227" fontId="0" fillId="33" borderId="19" xfId="0" applyNumberForma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 wrapText="1"/>
    </xf>
    <xf numFmtId="226" fontId="0" fillId="36" borderId="19" xfId="0" applyNumberFormat="1" applyFont="1" applyFill="1" applyBorder="1" applyAlignment="1" applyProtection="1">
      <alignment horizontal="center"/>
      <protection hidden="1"/>
    </xf>
    <xf numFmtId="227" fontId="7" fillId="0" borderId="52" xfId="0" applyNumberFormat="1" applyFont="1" applyBorder="1" applyAlignment="1">
      <alignment horizontal="center" wrapText="1"/>
    </xf>
    <xf numFmtId="227" fontId="0" fillId="36" borderId="33" xfId="0" applyNumberFormat="1" applyFill="1" applyBorder="1" applyAlignment="1" applyProtection="1">
      <alignment horizontal="right"/>
      <protection locked="0"/>
    </xf>
    <xf numFmtId="0" fontId="7" fillId="0" borderId="10" xfId="0" applyFont="1" applyBorder="1" applyAlignment="1">
      <alignment wrapText="1"/>
    </xf>
    <xf numFmtId="11" fontId="0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47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27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33" borderId="54" xfId="0" applyFill="1" applyBorder="1" applyAlignment="1" applyProtection="1">
      <alignment vertical="center"/>
      <protection locked="0"/>
    </xf>
    <xf numFmtId="0" fontId="0" fillId="33" borderId="55" xfId="0" applyFill="1" applyBorder="1" applyAlignment="1" applyProtection="1">
      <alignment vertical="center"/>
      <protection locked="0"/>
    </xf>
    <xf numFmtId="0" fontId="0" fillId="33" borderId="56" xfId="0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226" fontId="0" fillId="34" borderId="10" xfId="0" applyNumberFormat="1" applyFill="1" applyBorder="1" applyAlignment="1">
      <alignment/>
    </xf>
    <xf numFmtId="0" fontId="0" fillId="0" borderId="5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227" fontId="0" fillId="0" borderId="0" xfId="0" applyNumberFormat="1" applyAlignment="1">
      <alignment/>
    </xf>
    <xf numFmtId="218" fontId="0" fillId="0" borderId="0" xfId="0" applyNumberFormat="1" applyAlignment="1">
      <alignment/>
    </xf>
    <xf numFmtId="0" fontId="0" fillId="0" borderId="5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9" xfId="0" applyBorder="1" applyAlignment="1">
      <alignment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/>
    </xf>
    <xf numFmtId="0" fontId="6" fillId="0" borderId="60" xfId="0" applyFont="1" applyBorder="1" applyAlignment="1">
      <alignment horizontal="right"/>
    </xf>
    <xf numFmtId="0" fontId="0" fillId="0" borderId="61" xfId="0" applyBorder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7" borderId="52" xfId="0" applyFill="1" applyBorder="1" applyAlignment="1">
      <alignment vertical="center"/>
    </xf>
    <xf numFmtId="0" fontId="0" fillId="37" borderId="52" xfId="0" applyFill="1" applyBorder="1" applyAlignment="1" applyProtection="1">
      <alignment vertical="center"/>
      <protection locked="0"/>
    </xf>
    <xf numFmtId="0" fontId="0" fillId="37" borderId="23" xfId="0" applyFill="1" applyBorder="1" applyAlignment="1">
      <alignment vertical="center"/>
    </xf>
    <xf numFmtId="0" fontId="7" fillId="38" borderId="51" xfId="0" applyFont="1" applyFill="1" applyBorder="1" applyAlignment="1">
      <alignment horizontal="center" wrapText="1"/>
    </xf>
    <xf numFmtId="11" fontId="0" fillId="0" borderId="29" xfId="0" applyNumberFormat="1" applyBorder="1" applyAlignment="1" applyProtection="1">
      <alignment shrinkToFit="1"/>
      <protection hidden="1" locked="0"/>
    </xf>
    <xf numFmtId="11" fontId="0" fillId="0" borderId="29" xfId="0" applyNumberFormat="1" applyFont="1" applyBorder="1" applyAlignment="1" applyProtection="1">
      <alignment shrinkToFit="1"/>
      <protection hidden="1" locked="0"/>
    </xf>
    <xf numFmtId="11" fontId="0" fillId="0" borderId="10" xfId="0" applyNumberFormat="1" applyBorder="1" applyAlignment="1" applyProtection="1">
      <alignment shrinkToFit="1"/>
      <protection hidden="1" locked="0"/>
    </xf>
    <xf numFmtId="0" fontId="0" fillId="0" borderId="29" xfId="0" applyBorder="1" applyAlignment="1" applyProtection="1">
      <alignment/>
      <protection hidden="1" locked="0"/>
    </xf>
    <xf numFmtId="0" fontId="0" fillId="0" borderId="29" xfId="0" applyBorder="1" applyAlignment="1">
      <alignment/>
    </xf>
    <xf numFmtId="11" fontId="0" fillId="0" borderId="10" xfId="0" applyNumberFormat="1" applyFont="1" applyBorder="1" applyAlignment="1" applyProtection="1">
      <alignment shrinkToFit="1"/>
      <protection hidden="1" locked="0"/>
    </xf>
    <xf numFmtId="177" fontId="0" fillId="35" borderId="10" xfId="0" applyNumberFormat="1" applyFill="1" applyBorder="1" applyAlignment="1">
      <alignment horizontal="center" vertical="center"/>
    </xf>
    <xf numFmtId="177" fontId="0" fillId="35" borderId="51" xfId="0" applyNumberFormat="1" applyFill="1" applyBorder="1" applyAlignment="1" applyProtection="1">
      <alignment horizontal="center" vertical="center"/>
      <protection locked="0"/>
    </xf>
    <xf numFmtId="0" fontId="50" fillId="0" borderId="58" xfId="0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33" borderId="57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4" fontId="0" fillId="33" borderId="51" xfId="0" applyNumberFormat="1" applyFill="1" applyBorder="1" applyAlignment="1" applyProtection="1">
      <alignment horizontal="center"/>
      <protection locked="0"/>
    </xf>
    <xf numFmtId="14" fontId="0" fillId="33" borderId="53" xfId="0" applyNumberFormat="1" applyFill="1" applyBorder="1" applyAlignment="1" applyProtection="1">
      <alignment horizontal="center"/>
      <protection locked="0"/>
    </xf>
    <xf numFmtId="14" fontId="0" fillId="33" borderId="29" xfId="0" applyNumberFormat="1" applyFill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33" borderId="18" xfId="0" applyNumberFormat="1" applyFill="1" applyBorder="1" applyAlignment="1" applyProtection="1">
      <alignment horizontal="center"/>
      <protection locked="0"/>
    </xf>
    <xf numFmtId="0" fontId="0" fillId="34" borderId="18" xfId="0" applyNumberFormat="1" applyFill="1" applyBorder="1" applyAlignment="1">
      <alignment horizontal="center"/>
    </xf>
    <xf numFmtId="14" fontId="0" fillId="33" borderId="49" xfId="0" applyNumberFormat="1" applyFill="1" applyBorder="1" applyAlignment="1" applyProtection="1">
      <alignment horizontal="center"/>
      <protection locked="0"/>
    </xf>
    <xf numFmtId="14" fontId="0" fillId="33" borderId="33" xfId="0" applyNumberFormat="1" applyFill="1" applyBorder="1" applyAlignment="1" applyProtection="1">
      <alignment horizontal="center"/>
      <protection locked="0"/>
    </xf>
    <xf numFmtId="0" fontId="0" fillId="34" borderId="19" xfId="0" applyNumberFormat="1" applyFill="1" applyBorder="1" applyAlignment="1">
      <alignment horizontal="center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0" fontId="0" fillId="33" borderId="62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4" borderId="20" xfId="0" applyNumberFormat="1" applyFill="1" applyBorder="1" applyAlignment="1">
      <alignment horizontal="center"/>
    </xf>
    <xf numFmtId="14" fontId="0" fillId="33" borderId="19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測定データ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315"/>
          <c:w val="0.955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v>今回測定データ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'A水中'!$B$4:$B$28</c:f>
              <c:numCache/>
            </c:numRef>
          </c:xVal>
          <c:yVal>
            <c:numRef>
              <c:f>'A水中'!$F$4:$F$28</c:f>
              <c:numCache/>
            </c:numRef>
          </c:yVal>
          <c:smooth val="1"/>
        </c:ser>
        <c:axId val="12550617"/>
        <c:axId val="28423574"/>
      </c:scatterChart>
      <c:valAx>
        <c:axId val="1255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23574"/>
        <c:crosses val="autoZero"/>
        <c:crossBetween val="midCat"/>
        <c:dispUnits/>
      </c:valAx>
      <c:valAx>
        <c:axId val="284235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伝搬時間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50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見かけの伝搬速度</a:t>
            </a:r>
          </a:p>
        </c:rich>
      </c:tx>
      <c:layout>
        <c:manualLayout>
          <c:xMode val="factor"/>
          <c:yMode val="factor"/>
          <c:x val="0.00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655"/>
          <c:w val="0.949"/>
          <c:h val="0.89325"/>
        </c:manualLayout>
      </c:layout>
      <c:scatterChart>
        <c:scatterStyle val="smoothMarker"/>
        <c:varyColors val="0"/>
        <c:ser>
          <c:idx val="0"/>
          <c:order val="0"/>
          <c:tx>
            <c:v>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C!$D$4:$D$28</c:f>
              <c:numCache/>
            </c:numRef>
          </c:xVal>
          <c:yVal>
            <c:numRef>
              <c:f>C!$E$4:$E$28</c:f>
              <c:numCache/>
            </c:numRef>
          </c:yVal>
          <c:smooth val="1"/>
        </c:ser>
        <c:ser>
          <c:idx val="2"/>
          <c:order val="1"/>
          <c:tx>
            <c:v>回帰式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C!$S$101:$S$128</c:f>
              <c:numCache/>
            </c:numRef>
          </c:xVal>
          <c:yVal>
            <c:numRef>
              <c:f>C!$T$101:$T$128</c:f>
              <c:numCache/>
            </c:numRef>
          </c:yVal>
          <c:smooth val="1"/>
        </c:ser>
        <c:axId val="30278127"/>
        <c:axId val="5650452"/>
      </c:scatterChart>
      <c:valAx>
        <c:axId val="3027812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0452"/>
        <c:crosses val="autoZero"/>
        <c:crossBetween val="midCat"/>
        <c:dispUnits/>
      </c:valAx>
      <c:valAx>
        <c:axId val="5650452"/>
        <c:scaling>
          <c:orientation val="minMax"/>
          <c:max val="32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`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見かけの音速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7812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6955"/>
          <c:w val="0.244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コンクリート内部音速分布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(m/s, mm)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015"/>
          <c:w val="0.90025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v>音速分布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C!$G$113:$G$131</c:f>
              <c:numCache/>
            </c:numRef>
          </c:xVal>
          <c:yVal>
            <c:numRef>
              <c:f>C!$H$113:$H$131</c:f>
              <c:numCache/>
            </c:numRef>
          </c:yVal>
          <c:smooth val="1"/>
        </c:ser>
        <c:axId val="29645381"/>
        <c:axId val="54409682"/>
      </c:scatterChart>
      <c:valAx>
        <c:axId val="29645381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深さ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09682"/>
        <c:crosses val="autoZero"/>
        <c:crossBetween val="midCat"/>
        <c:dispUnits/>
        <c:majorUnit val="50"/>
      </c:valAx>
      <c:valAx>
        <c:axId val="54409682"/>
        <c:scaling>
          <c:orientation val="minMax"/>
          <c:max val="36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453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4675"/>
          <c:w val="0.2477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0325"/>
          <c:w val="0.9685"/>
          <c:h val="0.92"/>
        </c:manualLayout>
      </c:layout>
      <c:scatterChart>
        <c:scatterStyle val="smooth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C!$T$44:$T$50</c:f>
              <c:numCache/>
            </c:numRef>
          </c:xVal>
          <c:yVal>
            <c:numRef>
              <c:f>C!$M$44:$M$50</c:f>
              <c:numCache/>
            </c:numRef>
          </c:yVal>
          <c:smooth val="1"/>
        </c:ser>
        <c:ser>
          <c:idx val="1"/>
          <c:order val="1"/>
          <c:tx>
            <c:v>回帰曲線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C!$J$72:$J$91</c:f>
              <c:numCache/>
            </c:numRef>
          </c:xVal>
          <c:yVal>
            <c:numRef>
              <c:f>C!$K$72:$K$91</c:f>
              <c:numCache/>
            </c:numRef>
          </c:yVal>
          <c:smooth val="1"/>
        </c:ser>
        <c:ser>
          <c:idx val="2"/>
          <c:order val="2"/>
          <c:tx>
            <c:v>内部一定音速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C!$M$72:$M$73</c:f>
              <c:numCache/>
            </c:numRef>
          </c:xVal>
          <c:yVal>
            <c:numRef>
              <c:f>C!$N$72:$N$73</c:f>
              <c:numCache/>
            </c:numRef>
          </c:yVal>
          <c:smooth val="1"/>
        </c:ser>
        <c:ser>
          <c:idx val="3"/>
          <c:order val="3"/>
          <c:tx>
            <c:v>測定時推定強度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C!$M$75:$M$76</c:f>
              <c:numCache/>
            </c:numRef>
          </c:xVal>
          <c:yVal>
            <c:numRef>
              <c:f>C!$N$75:$N$76</c:f>
              <c:numCache/>
            </c:numRef>
          </c:yVal>
          <c:smooth val="1"/>
        </c:ser>
        <c:axId val="34376907"/>
        <c:axId val="57406208"/>
      </c:scatterChart>
      <c:valAx>
        <c:axId val="34376907"/>
        <c:scaling>
          <c:orientation val="minMax"/>
          <c:max val="50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06208"/>
        <c:crosses val="autoZero"/>
        <c:crossBetween val="midCat"/>
        <c:dispUnits/>
        <c:majorUnit val="500"/>
      </c:valAx>
      <c:valAx>
        <c:axId val="5740620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圧縮強度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7690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465"/>
          <c:w val="0.35625"/>
          <c:h val="0.2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測定データ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315"/>
          <c:w val="0.956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v>今回測定データ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D!$B$4:$B$28</c:f>
              <c:numCache/>
            </c:numRef>
          </c:xVal>
          <c:yVal>
            <c:numRef>
              <c:f>D!$F$4:$F$28</c:f>
              <c:numCache/>
            </c:numRef>
          </c:yVal>
          <c:smooth val="1"/>
        </c:ser>
        <c:axId val="54167297"/>
        <c:axId val="27347742"/>
      </c:scatterChart>
      <c:valAx>
        <c:axId val="5416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47742"/>
        <c:crosses val="autoZero"/>
        <c:crossBetween val="midCat"/>
        <c:dispUnits/>
      </c:valAx>
      <c:valAx>
        <c:axId val="273477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伝搬時間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7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見かけの伝搬速度</a:t>
            </a:r>
          </a:p>
        </c:rich>
      </c:tx>
      <c:layout>
        <c:manualLayout>
          <c:xMode val="factor"/>
          <c:yMode val="factor"/>
          <c:x val="0.00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655"/>
          <c:w val="0.949"/>
          <c:h val="0.89325"/>
        </c:manualLayout>
      </c:layout>
      <c:scatterChart>
        <c:scatterStyle val="smoothMarker"/>
        <c:varyColors val="0"/>
        <c:ser>
          <c:idx val="0"/>
          <c:order val="0"/>
          <c:tx>
            <c:v>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D!$D$4:$D$28</c:f>
              <c:numCache/>
            </c:numRef>
          </c:xVal>
          <c:yVal>
            <c:numRef>
              <c:f>D!$E$4:$E$28</c:f>
              <c:numCache/>
            </c:numRef>
          </c:yVal>
          <c:smooth val="1"/>
        </c:ser>
        <c:ser>
          <c:idx val="2"/>
          <c:order val="1"/>
          <c:tx>
            <c:v>回帰式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D!$S$101:$S$128</c:f>
              <c:numCache/>
            </c:numRef>
          </c:xVal>
          <c:yVal>
            <c:numRef>
              <c:f>D!$T$101:$T$128</c:f>
              <c:numCache/>
            </c:numRef>
          </c:yVal>
          <c:smooth val="1"/>
        </c:ser>
        <c:axId val="54887015"/>
        <c:axId val="48219564"/>
      </c:scatterChart>
      <c:valAx>
        <c:axId val="5488701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19564"/>
        <c:crosses val="autoZero"/>
        <c:crossBetween val="midCat"/>
        <c:dispUnits/>
      </c:valAx>
      <c:valAx>
        <c:axId val="48219564"/>
        <c:scaling>
          <c:orientation val="minMax"/>
          <c:max val="32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`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見かけの音速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01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6955"/>
          <c:w val="0.244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コンクリート内部音速分布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(m/s, mm)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015"/>
          <c:w val="0.90025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v>音速分布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D!$G$113:$G$131</c:f>
              <c:numCache/>
            </c:numRef>
          </c:xVal>
          <c:yVal>
            <c:numRef>
              <c:f>D!$H$113:$H$131</c:f>
              <c:numCache/>
            </c:numRef>
          </c:yVal>
          <c:smooth val="1"/>
        </c:ser>
        <c:axId val="56190077"/>
        <c:axId val="18899498"/>
      </c:scatterChart>
      <c:valAx>
        <c:axId val="5619007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深さ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99498"/>
        <c:crosses val="autoZero"/>
        <c:crossBetween val="midCat"/>
        <c:dispUnits/>
        <c:majorUnit val="50"/>
      </c:valAx>
      <c:valAx>
        <c:axId val="18899498"/>
        <c:scaling>
          <c:orientation val="minMax"/>
          <c:max val="4000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90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63"/>
          <c:w val="0.2477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0325"/>
          <c:w val="0.9685"/>
          <c:h val="0.92"/>
        </c:manualLayout>
      </c:layout>
      <c:scatterChart>
        <c:scatterStyle val="smooth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D!$T$44:$T$50</c:f>
              <c:numCache/>
            </c:numRef>
          </c:xVal>
          <c:yVal>
            <c:numRef>
              <c:f>D!$M$44:$M$50</c:f>
              <c:numCache/>
            </c:numRef>
          </c:yVal>
          <c:smooth val="1"/>
        </c:ser>
        <c:ser>
          <c:idx val="1"/>
          <c:order val="1"/>
          <c:tx>
            <c:v>回帰曲線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D!$J$72:$J$91</c:f>
              <c:numCache/>
            </c:numRef>
          </c:xVal>
          <c:yVal>
            <c:numRef>
              <c:f>D!$K$72:$K$91</c:f>
              <c:numCache/>
            </c:numRef>
          </c:yVal>
          <c:smooth val="1"/>
        </c:ser>
        <c:ser>
          <c:idx val="2"/>
          <c:order val="2"/>
          <c:tx>
            <c:v>内部一定音速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D!$M$72:$M$73</c:f>
              <c:numCache/>
            </c:numRef>
          </c:xVal>
          <c:yVal>
            <c:numRef>
              <c:f>D!$N$72:$N$73</c:f>
              <c:numCache/>
            </c:numRef>
          </c:yVal>
          <c:smooth val="1"/>
        </c:ser>
        <c:ser>
          <c:idx val="3"/>
          <c:order val="3"/>
          <c:tx>
            <c:v>測定時推定強度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D!$M$75:$M$76</c:f>
              <c:numCache/>
            </c:numRef>
          </c:xVal>
          <c:yVal>
            <c:numRef>
              <c:f>D!$N$75:$N$76</c:f>
              <c:numCache/>
            </c:numRef>
          </c:yVal>
          <c:smooth val="1"/>
        </c:ser>
        <c:axId val="11214531"/>
        <c:axId val="56785944"/>
      </c:scatterChart>
      <c:valAx>
        <c:axId val="11214531"/>
        <c:scaling>
          <c:orientation val="minMax"/>
          <c:max val="50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85944"/>
        <c:crosses val="autoZero"/>
        <c:crossBetween val="midCat"/>
        <c:dispUnits/>
        <c:majorUnit val="500"/>
      </c:valAx>
      <c:valAx>
        <c:axId val="5678594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圧縮強度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1453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465"/>
          <c:w val="0.35625"/>
          <c:h val="0.2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見かけの伝搬速度</a:t>
            </a:r>
          </a:p>
        </c:rich>
      </c:tx>
      <c:layout>
        <c:manualLayout>
          <c:xMode val="factor"/>
          <c:yMode val="factor"/>
          <c:x val="0.00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655"/>
          <c:w val="0.949"/>
          <c:h val="0.89325"/>
        </c:manualLayout>
      </c:layout>
      <c:scatterChart>
        <c:scatterStyle val="smoothMarker"/>
        <c:varyColors val="0"/>
        <c:ser>
          <c:idx val="0"/>
          <c:order val="0"/>
          <c:tx>
            <c:v>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'A水中'!$D$4:$D$28</c:f>
              <c:numCache/>
            </c:numRef>
          </c:xVal>
          <c:yVal>
            <c:numRef>
              <c:f>'A水中'!$E$4:$E$28</c:f>
              <c:numCache/>
            </c:numRef>
          </c:yVal>
          <c:smooth val="1"/>
        </c:ser>
        <c:ser>
          <c:idx val="2"/>
          <c:order val="1"/>
          <c:tx>
            <c:v>回帰式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'A水中'!$S$101:$S$128</c:f>
              <c:numCache/>
            </c:numRef>
          </c:xVal>
          <c:yVal>
            <c:numRef>
              <c:f>'A水中'!$T$101:$T$128</c:f>
              <c:numCache/>
            </c:numRef>
          </c:yVal>
          <c:smooth val="1"/>
        </c:ser>
        <c:axId val="18977279"/>
        <c:axId val="13470180"/>
      </c:scatterChart>
      <c:valAx>
        <c:axId val="189772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0180"/>
        <c:crosses val="autoZero"/>
        <c:crossBetween val="midCat"/>
        <c:dispUnits/>
      </c:valAx>
      <c:valAx>
        <c:axId val="13470180"/>
        <c:scaling>
          <c:orientation val="minMax"/>
          <c:max val="4100"/>
          <c:min val="3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`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見かけの音速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7727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6955"/>
          <c:w val="0.244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コンクリート内部音速分布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(m/s, mm)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015"/>
          <c:w val="0.90025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v>音速分布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'A水中'!$G$113:$G$131</c:f>
              <c:numCache/>
            </c:numRef>
          </c:xVal>
          <c:yVal>
            <c:numRef>
              <c:f>'A水中'!$H$113:$H$131</c:f>
              <c:numCache/>
            </c:numRef>
          </c:yVal>
          <c:smooth val="1"/>
        </c:ser>
        <c:axId val="55090901"/>
        <c:axId val="54132258"/>
      </c:scatterChart>
      <c:valAx>
        <c:axId val="55090901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深さ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32258"/>
        <c:crosses val="autoZero"/>
        <c:crossBetween val="midCat"/>
        <c:dispUnits/>
        <c:majorUnit val="50"/>
      </c:valAx>
      <c:valAx>
        <c:axId val="54132258"/>
        <c:scaling>
          <c:orientation val="minMax"/>
          <c:max val="4500"/>
          <c:min val="3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90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5075"/>
          <c:w val="0.247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0325"/>
          <c:w val="0.9685"/>
          <c:h val="0.92"/>
        </c:manualLayout>
      </c:layout>
      <c:scatterChart>
        <c:scatterStyle val="smooth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'A水中'!$T$44:$T$50</c:f>
              <c:numCache/>
            </c:numRef>
          </c:xVal>
          <c:yVal>
            <c:numRef>
              <c:f>'A水中'!$M$44:$M$50</c:f>
              <c:numCache/>
            </c:numRef>
          </c:yVal>
          <c:smooth val="1"/>
        </c:ser>
        <c:ser>
          <c:idx val="1"/>
          <c:order val="1"/>
          <c:tx>
            <c:v>回帰曲線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'A水中'!$J$72:$J$91</c:f>
              <c:numCache/>
            </c:numRef>
          </c:xVal>
          <c:yVal>
            <c:numRef>
              <c:f>'A水中'!$K$72:$K$91</c:f>
              <c:numCache/>
            </c:numRef>
          </c:yVal>
          <c:smooth val="1"/>
        </c:ser>
        <c:ser>
          <c:idx val="2"/>
          <c:order val="2"/>
          <c:tx>
            <c:v>内部一定音速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'A水中'!$M$72:$M$73</c:f>
              <c:numCache/>
            </c:numRef>
          </c:xVal>
          <c:yVal>
            <c:numRef>
              <c:f>'A水中'!$N$72:$N$73</c:f>
              <c:numCache/>
            </c:numRef>
          </c:yVal>
          <c:smooth val="1"/>
        </c:ser>
        <c:ser>
          <c:idx val="3"/>
          <c:order val="3"/>
          <c:tx>
            <c:v>測定時推定強度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'A水中'!$M$75:$M$76</c:f>
              <c:numCache/>
            </c:numRef>
          </c:xVal>
          <c:yVal>
            <c:numRef>
              <c:f>'A水中'!$N$75:$N$76</c:f>
              <c:numCache/>
            </c:numRef>
          </c:yVal>
          <c:smooth val="1"/>
        </c:ser>
        <c:axId val="26331611"/>
        <c:axId val="25419216"/>
      </c:scatterChart>
      <c:valAx>
        <c:axId val="26331611"/>
        <c:scaling>
          <c:orientation val="minMax"/>
          <c:max val="50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19216"/>
        <c:crosses val="autoZero"/>
        <c:crossBetween val="midCat"/>
        <c:dispUnits/>
        <c:majorUnit val="500"/>
      </c:valAx>
      <c:valAx>
        <c:axId val="2541921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圧縮強度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3161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465"/>
          <c:w val="0.35625"/>
          <c:h val="0.2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測定データ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305"/>
          <c:w val="0.9545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v>今回測定データ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'B封かん'!$B$4:$B$28</c:f>
              <c:numCache/>
            </c:numRef>
          </c:xVal>
          <c:yVal>
            <c:numRef>
              <c:f>'B封かん'!$F$4:$F$28</c:f>
              <c:numCache/>
            </c:numRef>
          </c:yVal>
          <c:smooth val="1"/>
        </c:ser>
        <c:axId val="66068625"/>
        <c:axId val="36941934"/>
      </c:scatterChart>
      <c:valAx>
        <c:axId val="6606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41934"/>
        <c:crosses val="autoZero"/>
        <c:crossBetween val="midCat"/>
        <c:dispUnits/>
      </c:valAx>
      <c:valAx>
        <c:axId val="369419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伝搬時間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8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見かけの伝搬速度</a:t>
            </a:r>
          </a:p>
        </c:rich>
      </c:tx>
      <c:layout>
        <c:manualLayout>
          <c:xMode val="factor"/>
          <c:yMode val="factor"/>
          <c:x val="0.00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64"/>
          <c:w val="0.948"/>
          <c:h val="0.89575"/>
        </c:manualLayout>
      </c:layout>
      <c:scatterChart>
        <c:scatterStyle val="smoothMarker"/>
        <c:varyColors val="0"/>
        <c:ser>
          <c:idx val="0"/>
          <c:order val="0"/>
          <c:tx>
            <c:v>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'B封かん'!$D$4:$D$28</c:f>
              <c:numCache/>
            </c:numRef>
          </c:xVal>
          <c:yVal>
            <c:numRef>
              <c:f>'B封かん'!$E$4:$E$28</c:f>
              <c:numCache/>
            </c:numRef>
          </c:yVal>
          <c:smooth val="1"/>
        </c:ser>
        <c:ser>
          <c:idx val="2"/>
          <c:order val="1"/>
          <c:tx>
            <c:v>回帰式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'B封かん'!$S$101:$S$128</c:f>
              <c:numCache/>
            </c:numRef>
          </c:xVal>
          <c:yVal>
            <c:numRef>
              <c:f>'B封かん'!$T$101:$T$128</c:f>
              <c:numCache/>
            </c:numRef>
          </c:yVal>
          <c:smooth val="1"/>
        </c:ser>
        <c:axId val="64683127"/>
        <c:axId val="63871356"/>
      </c:scatterChart>
      <c:valAx>
        <c:axId val="6468312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71356"/>
        <c:crosses val="autoZero"/>
        <c:crossBetween val="midCat"/>
        <c:dispUnits/>
      </c:valAx>
      <c:valAx>
        <c:axId val="63871356"/>
        <c:scaling>
          <c:orientation val="minMax"/>
          <c:max val="4500"/>
          <c:min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`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見かけの音速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312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6955"/>
          <c:w val="0.244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コンクリート内部音速分布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(m/s, mm)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0145"/>
          <c:w val="0.898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v>音速分布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'B封かん'!$G$113:$G$131</c:f>
              <c:numCache/>
            </c:numRef>
          </c:xVal>
          <c:yVal>
            <c:numRef>
              <c:f>'B封かん'!$H$113:$H$131</c:f>
              <c:numCache/>
            </c:numRef>
          </c:yVal>
          <c:smooth val="1"/>
        </c:ser>
        <c:axId val="40329997"/>
        <c:axId val="28719226"/>
      </c:scatterChart>
      <c:valAx>
        <c:axId val="4032999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深さ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19226"/>
        <c:crosses val="autoZero"/>
        <c:crossBetween val="midCat"/>
        <c:dispUnits/>
        <c:majorUnit val="50"/>
      </c:valAx>
      <c:valAx>
        <c:axId val="28719226"/>
        <c:scaling>
          <c:orientation val="minMax"/>
          <c:max val="4900"/>
          <c:min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99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7125"/>
          <c:w val="0.247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0325"/>
          <c:w val="0.96775"/>
          <c:h val="0.9215"/>
        </c:manualLayout>
      </c:layout>
      <c:scatterChart>
        <c:scatterStyle val="smooth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'B封かん'!$T$44:$T$50</c:f>
              <c:numCache/>
            </c:numRef>
          </c:xVal>
          <c:yVal>
            <c:numRef>
              <c:f>'B封かん'!$M$44:$M$50</c:f>
              <c:numCache/>
            </c:numRef>
          </c:yVal>
          <c:smooth val="1"/>
        </c:ser>
        <c:ser>
          <c:idx val="1"/>
          <c:order val="1"/>
          <c:tx>
            <c:v>回帰曲線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'B封かん'!$J$72:$J$91</c:f>
              <c:numCache/>
            </c:numRef>
          </c:xVal>
          <c:yVal>
            <c:numRef>
              <c:f>'B封かん'!$K$72:$K$91</c:f>
              <c:numCache/>
            </c:numRef>
          </c:yVal>
          <c:smooth val="1"/>
        </c:ser>
        <c:ser>
          <c:idx val="2"/>
          <c:order val="2"/>
          <c:tx>
            <c:v>内部一定音速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'B封かん'!$M$72:$M$73</c:f>
              <c:numCache/>
            </c:numRef>
          </c:xVal>
          <c:yVal>
            <c:numRef>
              <c:f>'B封かん'!$N$72:$N$73</c:f>
              <c:numCache/>
            </c:numRef>
          </c:yVal>
          <c:smooth val="1"/>
        </c:ser>
        <c:ser>
          <c:idx val="3"/>
          <c:order val="3"/>
          <c:tx>
            <c:v>測定時推定強度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'B封かん'!$M$75:$M$76</c:f>
              <c:numCache/>
            </c:numRef>
          </c:xVal>
          <c:yVal>
            <c:numRef>
              <c:f>'B封かん'!$N$75:$N$76</c:f>
              <c:numCache/>
            </c:numRef>
          </c:yVal>
          <c:smooth val="1"/>
        </c:ser>
        <c:axId val="27551187"/>
        <c:axId val="60786920"/>
      </c:scatterChart>
      <c:valAx>
        <c:axId val="27551187"/>
        <c:scaling>
          <c:orientation val="minMax"/>
          <c:max val="50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86920"/>
        <c:crosses val="autoZero"/>
        <c:crossBetween val="midCat"/>
        <c:dispUnits/>
        <c:majorUnit val="500"/>
      </c:valAx>
      <c:valAx>
        <c:axId val="6078692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圧縮強度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118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465"/>
          <c:w val="0.35625"/>
          <c:h val="0.2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測定データ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315"/>
          <c:w val="0.955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v>今回測定データ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C!$B$4:$B$28</c:f>
              <c:numCache/>
            </c:numRef>
          </c:xVal>
          <c:yVal>
            <c:numRef>
              <c:f>C!$F$4:$F$28</c:f>
              <c:numCache/>
            </c:numRef>
          </c:yVal>
          <c:smooth val="1"/>
        </c:ser>
        <c:axId val="17990217"/>
        <c:axId val="51954246"/>
      </c:scatterChart>
      <c:valAx>
        <c:axId val="17990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54246"/>
        <c:crosses val="autoZero"/>
        <c:crossBetween val="midCat"/>
        <c:dispUnits/>
      </c:valAx>
      <c:valAx>
        <c:axId val="519542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伝搬時間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90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6.emf" /><Relationship Id="rId6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7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19050</xdr:rowOff>
    </xdr:from>
    <xdr:to>
      <xdr:col>13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24100" y="419100"/>
        <a:ext cx="3829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13</xdr:col>
      <xdr:colOff>409575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314575" y="3267075"/>
        <a:ext cx="3829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16</xdr:row>
      <xdr:rowOff>161925</xdr:rowOff>
    </xdr:from>
    <xdr:to>
      <xdr:col>21</xdr:col>
      <xdr:colOff>133350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172200" y="3248025"/>
        <a:ext cx="31242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95250</xdr:colOff>
      <xdr:row>53</xdr:row>
      <xdr:rowOff>76200</xdr:rowOff>
    </xdr:from>
    <xdr:to>
      <xdr:col>19</xdr:col>
      <xdr:colOff>361950</xdr:colOff>
      <xdr:row>65</xdr:row>
      <xdr:rowOff>152400</xdr:rowOff>
    </xdr:to>
    <xdr:graphicFrame>
      <xdr:nvGraphicFramePr>
        <xdr:cNvPr id="4" name="Chart 6"/>
        <xdr:cNvGraphicFramePr/>
      </xdr:nvGraphicFramePr>
      <xdr:xfrm>
        <a:off x="5400675" y="9582150"/>
        <a:ext cx="32670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13</xdr:col>
      <xdr:colOff>266700</xdr:colOff>
      <xdr:row>31</xdr:row>
      <xdr:rowOff>38100</xdr:rowOff>
    </xdr:from>
    <xdr:to>
      <xdr:col>17</xdr:col>
      <xdr:colOff>409575</xdr:colOff>
      <xdr:row>33</xdr:row>
      <xdr:rowOff>133350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5695950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55</xdr:row>
      <xdr:rowOff>19050</xdr:rowOff>
    </xdr:from>
    <xdr:to>
      <xdr:col>10</xdr:col>
      <xdr:colOff>419100</xdr:colOff>
      <xdr:row>57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867900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19050</xdr:rowOff>
    </xdr:from>
    <xdr:to>
      <xdr:col>13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24100" y="419100"/>
        <a:ext cx="3829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13</xdr:col>
      <xdr:colOff>409575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314575" y="3267075"/>
        <a:ext cx="3829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16</xdr:row>
      <xdr:rowOff>161925</xdr:rowOff>
    </xdr:from>
    <xdr:to>
      <xdr:col>21</xdr:col>
      <xdr:colOff>133350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172200" y="3248025"/>
        <a:ext cx="31242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95250</xdr:colOff>
      <xdr:row>53</xdr:row>
      <xdr:rowOff>76200</xdr:rowOff>
    </xdr:from>
    <xdr:to>
      <xdr:col>19</xdr:col>
      <xdr:colOff>361950</xdr:colOff>
      <xdr:row>65</xdr:row>
      <xdr:rowOff>152400</xdr:rowOff>
    </xdr:to>
    <xdr:graphicFrame>
      <xdr:nvGraphicFramePr>
        <xdr:cNvPr id="4" name="Chart 6"/>
        <xdr:cNvGraphicFramePr/>
      </xdr:nvGraphicFramePr>
      <xdr:xfrm>
        <a:off x="5400675" y="9582150"/>
        <a:ext cx="32670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13</xdr:col>
      <xdr:colOff>266700</xdr:colOff>
      <xdr:row>31</xdr:row>
      <xdr:rowOff>38100</xdr:rowOff>
    </xdr:from>
    <xdr:to>
      <xdr:col>17</xdr:col>
      <xdr:colOff>409575</xdr:colOff>
      <xdr:row>33</xdr:row>
      <xdr:rowOff>133350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5695950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55</xdr:row>
      <xdr:rowOff>19050</xdr:rowOff>
    </xdr:from>
    <xdr:to>
      <xdr:col>10</xdr:col>
      <xdr:colOff>419100</xdr:colOff>
      <xdr:row>57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867900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19050</xdr:rowOff>
    </xdr:from>
    <xdr:to>
      <xdr:col>13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24100" y="419100"/>
        <a:ext cx="3829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13</xdr:col>
      <xdr:colOff>409575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314575" y="3267075"/>
        <a:ext cx="3829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16</xdr:row>
      <xdr:rowOff>161925</xdr:rowOff>
    </xdr:from>
    <xdr:to>
      <xdr:col>21</xdr:col>
      <xdr:colOff>133350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172200" y="3248025"/>
        <a:ext cx="31242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95250</xdr:colOff>
      <xdr:row>53</xdr:row>
      <xdr:rowOff>76200</xdr:rowOff>
    </xdr:from>
    <xdr:to>
      <xdr:col>19</xdr:col>
      <xdr:colOff>361950</xdr:colOff>
      <xdr:row>65</xdr:row>
      <xdr:rowOff>152400</xdr:rowOff>
    </xdr:to>
    <xdr:graphicFrame>
      <xdr:nvGraphicFramePr>
        <xdr:cNvPr id="4" name="Chart 6"/>
        <xdr:cNvGraphicFramePr/>
      </xdr:nvGraphicFramePr>
      <xdr:xfrm>
        <a:off x="5400675" y="9582150"/>
        <a:ext cx="32670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13</xdr:col>
      <xdr:colOff>266700</xdr:colOff>
      <xdr:row>31</xdr:row>
      <xdr:rowOff>38100</xdr:rowOff>
    </xdr:from>
    <xdr:to>
      <xdr:col>17</xdr:col>
      <xdr:colOff>409575</xdr:colOff>
      <xdr:row>33</xdr:row>
      <xdr:rowOff>133350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5695950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55</xdr:row>
      <xdr:rowOff>19050</xdr:rowOff>
    </xdr:from>
    <xdr:to>
      <xdr:col>10</xdr:col>
      <xdr:colOff>419100</xdr:colOff>
      <xdr:row>57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867900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19050</xdr:rowOff>
    </xdr:from>
    <xdr:to>
      <xdr:col>13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24100" y="419100"/>
        <a:ext cx="3829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13</xdr:col>
      <xdr:colOff>409575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314575" y="3267075"/>
        <a:ext cx="3829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16</xdr:row>
      <xdr:rowOff>161925</xdr:rowOff>
    </xdr:from>
    <xdr:to>
      <xdr:col>21</xdr:col>
      <xdr:colOff>133350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172200" y="3248025"/>
        <a:ext cx="31242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95250</xdr:colOff>
      <xdr:row>53</xdr:row>
      <xdr:rowOff>76200</xdr:rowOff>
    </xdr:from>
    <xdr:to>
      <xdr:col>19</xdr:col>
      <xdr:colOff>361950</xdr:colOff>
      <xdr:row>65</xdr:row>
      <xdr:rowOff>152400</xdr:rowOff>
    </xdr:to>
    <xdr:graphicFrame>
      <xdr:nvGraphicFramePr>
        <xdr:cNvPr id="4" name="Chart 6"/>
        <xdr:cNvGraphicFramePr/>
      </xdr:nvGraphicFramePr>
      <xdr:xfrm>
        <a:off x="5400675" y="9582150"/>
        <a:ext cx="32670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13</xdr:col>
      <xdr:colOff>266700</xdr:colOff>
      <xdr:row>31</xdr:row>
      <xdr:rowOff>38100</xdr:rowOff>
    </xdr:from>
    <xdr:to>
      <xdr:col>17</xdr:col>
      <xdr:colOff>409575</xdr:colOff>
      <xdr:row>33</xdr:row>
      <xdr:rowOff>133350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5695950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55</xdr:row>
      <xdr:rowOff>19050</xdr:rowOff>
    </xdr:from>
    <xdr:to>
      <xdr:col>10</xdr:col>
      <xdr:colOff>419100</xdr:colOff>
      <xdr:row>57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867900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AN18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3" width="5.625" style="0" customWidth="1"/>
    <col min="4" max="4" width="7.75390625" style="0" customWidth="1"/>
    <col min="5" max="22" width="5.625" style="0" customWidth="1"/>
  </cols>
  <sheetData>
    <row r="1" spans="1:16" ht="13.5">
      <c r="A1" s="148" t="s">
        <v>40</v>
      </c>
      <c r="B1" s="148"/>
      <c r="C1" s="148"/>
      <c r="D1" s="149">
        <v>39108</v>
      </c>
      <c r="E1" s="150"/>
      <c r="F1" s="151"/>
      <c r="G1" s="148" t="s">
        <v>44</v>
      </c>
      <c r="H1" s="148"/>
      <c r="I1" s="148"/>
      <c r="J1" s="149">
        <v>39094</v>
      </c>
      <c r="K1" s="150"/>
      <c r="L1" s="151"/>
      <c r="M1" s="152" t="s">
        <v>61</v>
      </c>
      <c r="N1" s="153"/>
      <c r="O1" s="154"/>
      <c r="P1" s="65">
        <v>-13.3</v>
      </c>
    </row>
    <row r="2" spans="1:14" ht="18" customHeight="1">
      <c r="A2" s="155" t="s">
        <v>35</v>
      </c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7"/>
    </row>
    <row r="3" spans="1:19" ht="36" customHeight="1">
      <c r="A3" s="1" t="s">
        <v>64</v>
      </c>
      <c r="B3" s="97" t="s">
        <v>65</v>
      </c>
      <c r="C3" s="97" t="s">
        <v>36</v>
      </c>
      <c r="D3" s="97" t="s">
        <v>66</v>
      </c>
      <c r="E3" s="99" t="s">
        <v>46</v>
      </c>
      <c r="F3" s="101" t="s">
        <v>1</v>
      </c>
      <c r="G3" s="29"/>
      <c r="H3" s="29"/>
      <c r="Q3" s="94"/>
      <c r="R3" s="94"/>
      <c r="S3" s="94"/>
    </row>
    <row r="4" spans="1:8" ht="13.5">
      <c r="A4" s="63">
        <v>1</v>
      </c>
      <c r="B4" s="95">
        <v>50</v>
      </c>
      <c r="C4" s="92">
        <v>25</v>
      </c>
      <c r="D4" s="98">
        <f aca="true" t="shared" si="0" ref="D4:D17">IF(B4="",D3,IF(B4&gt;(B4-$B$32)*(1+$F$32),(B4-$B$32)*(1+$F$32),B4))</f>
        <v>43.26</v>
      </c>
      <c r="E4" s="100">
        <f aca="true" t="shared" si="1" ref="E4:E17">IF(B4="",E3,D4*10^-3/((C4+$P$1)*10^-6))</f>
        <v>3697.435897435898</v>
      </c>
      <c r="F4" s="102">
        <f>IF(B4="","",C4*10^-6)</f>
        <v>2.4999999999999998E-05</v>
      </c>
      <c r="G4" s="29"/>
      <c r="H4" s="29"/>
    </row>
    <row r="5" spans="1:8" ht="13.5">
      <c r="A5" s="64">
        <v>2</v>
      </c>
      <c r="B5" s="96">
        <v>100</v>
      </c>
      <c r="C5" s="93">
        <v>39.5</v>
      </c>
      <c r="D5" s="98">
        <f t="shared" si="0"/>
        <v>94.76</v>
      </c>
      <c r="E5" s="100">
        <f t="shared" si="1"/>
        <v>3616.7938931297717</v>
      </c>
      <c r="F5" s="102">
        <f aca="true" t="shared" si="2" ref="F5:F28">IF(B5="","",C5*10^-6)</f>
        <v>3.95E-05</v>
      </c>
      <c r="G5" s="29"/>
      <c r="H5" s="29"/>
    </row>
    <row r="6" spans="1:8" ht="13.5">
      <c r="A6" s="64">
        <v>3</v>
      </c>
      <c r="B6" s="96">
        <v>150</v>
      </c>
      <c r="C6" s="93">
        <v>51.4</v>
      </c>
      <c r="D6" s="98">
        <f t="shared" si="0"/>
        <v>146.26</v>
      </c>
      <c r="E6" s="100">
        <f t="shared" si="1"/>
        <v>3838.845144356956</v>
      </c>
      <c r="F6" s="102">
        <f t="shared" si="2"/>
        <v>5.1399999999999996E-05</v>
      </c>
      <c r="G6" s="29"/>
      <c r="H6" s="29"/>
    </row>
    <row r="7" spans="1:8" ht="13.5">
      <c r="A7" s="64">
        <v>4</v>
      </c>
      <c r="B7" s="96">
        <v>200</v>
      </c>
      <c r="C7" s="93">
        <v>64.1</v>
      </c>
      <c r="D7" s="98">
        <f t="shared" si="0"/>
        <v>197.76</v>
      </c>
      <c r="E7" s="100">
        <f t="shared" si="1"/>
        <v>3892.913385826772</v>
      </c>
      <c r="F7" s="102">
        <f t="shared" si="2"/>
        <v>6.409999999999999E-05</v>
      </c>
      <c r="G7" s="29"/>
      <c r="H7" s="29"/>
    </row>
    <row r="8" spans="1:8" ht="13.5">
      <c r="A8" s="64">
        <v>5</v>
      </c>
      <c r="B8" s="96">
        <v>250</v>
      </c>
      <c r="C8" s="93">
        <v>76.9</v>
      </c>
      <c r="D8" s="98">
        <f t="shared" si="0"/>
        <v>249.26000000000002</v>
      </c>
      <c r="E8" s="100">
        <f t="shared" si="1"/>
        <v>3919.1823899371075</v>
      </c>
      <c r="F8" s="102">
        <f t="shared" si="2"/>
        <v>7.69E-05</v>
      </c>
      <c r="G8" s="29"/>
      <c r="H8" s="29"/>
    </row>
    <row r="9" spans="1:8" ht="13.5">
      <c r="A9" s="64">
        <v>6</v>
      </c>
      <c r="B9" s="96">
        <v>300</v>
      </c>
      <c r="C9" s="93">
        <v>87.8</v>
      </c>
      <c r="D9" s="98">
        <f t="shared" si="0"/>
        <v>300</v>
      </c>
      <c r="E9" s="100">
        <f t="shared" si="1"/>
        <v>4026.8456375838928</v>
      </c>
      <c r="F9" s="102">
        <f t="shared" si="2"/>
        <v>8.779999999999999E-05</v>
      </c>
      <c r="G9" s="29"/>
      <c r="H9" s="29"/>
    </row>
    <row r="10" spans="1:8" ht="13.5">
      <c r="A10" s="64">
        <v>7</v>
      </c>
      <c r="B10" s="96">
        <v>400</v>
      </c>
      <c r="C10" s="93">
        <v>113.5</v>
      </c>
      <c r="D10" s="98">
        <f t="shared" si="0"/>
        <v>400</v>
      </c>
      <c r="E10" s="100">
        <f t="shared" si="1"/>
        <v>3992.0159680638726</v>
      </c>
      <c r="F10" s="102">
        <f t="shared" si="2"/>
        <v>0.0001135</v>
      </c>
      <c r="G10" s="29"/>
      <c r="H10" s="29"/>
    </row>
    <row r="11" spans="1:8" ht="13.5">
      <c r="A11" s="64">
        <v>8</v>
      </c>
      <c r="B11" s="96">
        <v>500</v>
      </c>
      <c r="C11" s="93">
        <v>137</v>
      </c>
      <c r="D11" s="98">
        <f t="shared" si="0"/>
        <v>500</v>
      </c>
      <c r="E11" s="100">
        <f t="shared" si="1"/>
        <v>4042.037186742118</v>
      </c>
      <c r="F11" s="102">
        <f t="shared" si="2"/>
        <v>0.000137</v>
      </c>
      <c r="G11" s="29"/>
      <c r="H11" s="29"/>
    </row>
    <row r="12" spans="1:8" ht="13.5">
      <c r="A12" s="64">
        <v>9</v>
      </c>
      <c r="B12" s="96">
        <v>600</v>
      </c>
      <c r="C12" s="93">
        <v>162.2</v>
      </c>
      <c r="D12" s="98">
        <f t="shared" si="0"/>
        <v>600</v>
      </c>
      <c r="E12" s="100">
        <f t="shared" si="1"/>
        <v>4029.5500335795846</v>
      </c>
      <c r="F12" s="102">
        <f t="shared" si="2"/>
        <v>0.00016219999999999999</v>
      </c>
      <c r="G12" s="29"/>
      <c r="H12" s="29"/>
    </row>
    <row r="13" spans="1:8" ht="13.5">
      <c r="A13" s="64">
        <v>10</v>
      </c>
      <c r="B13" s="96">
        <v>700</v>
      </c>
      <c r="C13" s="93">
        <v>191.1</v>
      </c>
      <c r="D13" s="98">
        <f t="shared" si="0"/>
        <v>700</v>
      </c>
      <c r="E13" s="100">
        <f t="shared" si="1"/>
        <v>3937.0078740157487</v>
      </c>
      <c r="F13" s="102">
        <f t="shared" si="2"/>
        <v>0.00019109999999999998</v>
      </c>
      <c r="G13" s="29"/>
      <c r="H13" s="29"/>
    </row>
    <row r="14" spans="1:8" ht="13.5">
      <c r="A14" s="64">
        <v>11</v>
      </c>
      <c r="B14" s="96">
        <v>800</v>
      </c>
      <c r="C14" s="93">
        <v>213.8</v>
      </c>
      <c r="D14" s="98">
        <f t="shared" si="0"/>
        <v>800</v>
      </c>
      <c r="E14" s="100">
        <f t="shared" si="1"/>
        <v>3990.024937655861</v>
      </c>
      <c r="F14" s="102">
        <f t="shared" si="2"/>
        <v>0.0002138</v>
      </c>
      <c r="G14" s="29"/>
      <c r="H14" s="29"/>
    </row>
    <row r="15" spans="1:8" ht="13.5">
      <c r="A15" s="64">
        <v>12</v>
      </c>
      <c r="B15" s="96">
        <v>900</v>
      </c>
      <c r="C15" s="93">
        <v>241.4</v>
      </c>
      <c r="D15" s="98">
        <f t="shared" si="0"/>
        <v>900</v>
      </c>
      <c r="E15" s="100">
        <f t="shared" si="1"/>
        <v>3945.6378781236303</v>
      </c>
      <c r="F15" s="102">
        <f t="shared" si="2"/>
        <v>0.00024139999999999999</v>
      </c>
      <c r="G15" s="29"/>
      <c r="H15" s="29"/>
    </row>
    <row r="16" spans="1:8" ht="13.5">
      <c r="A16" s="64">
        <v>13</v>
      </c>
      <c r="B16" s="96">
        <v>1000</v>
      </c>
      <c r="C16" s="93">
        <v>266.4</v>
      </c>
      <c r="D16" s="98">
        <f t="shared" si="0"/>
        <v>1000</v>
      </c>
      <c r="E16" s="100">
        <f t="shared" si="1"/>
        <v>3951.0075069142636</v>
      </c>
      <c r="F16" s="102">
        <f t="shared" si="2"/>
        <v>0.00026639999999999997</v>
      </c>
      <c r="G16" s="29"/>
      <c r="H16" s="29"/>
    </row>
    <row r="17" spans="1:8" ht="13.5">
      <c r="A17" s="64">
        <v>14</v>
      </c>
      <c r="B17" s="96"/>
      <c r="C17" s="93"/>
      <c r="D17" s="98">
        <f t="shared" si="0"/>
        <v>1000</v>
      </c>
      <c r="E17" s="100">
        <f t="shared" si="1"/>
        <v>3951.0075069142636</v>
      </c>
      <c r="F17" s="102">
        <f t="shared" si="2"/>
      </c>
      <c r="G17" s="29"/>
      <c r="H17" s="29"/>
    </row>
    <row r="18" spans="1:19" ht="13.5" customHeight="1">
      <c r="A18" s="64">
        <v>15</v>
      </c>
      <c r="B18" s="96"/>
      <c r="C18" s="93"/>
      <c r="D18" s="98">
        <f>IF(B18="",D17,IF(B18&gt;(B18-$B$32)*(1+$F$32),(B18-$B$32)*(1+$F$32),B18))</f>
        <v>1000</v>
      </c>
      <c r="E18" s="100">
        <f>IF(B18="",E17,D18*10^-3/((C18+$P$1)*10^-6))</f>
        <v>3951.0075069142636</v>
      </c>
      <c r="F18" s="102">
        <f t="shared" si="2"/>
      </c>
      <c r="Q18">
        <v>150</v>
      </c>
      <c r="R18">
        <v>29.1</v>
      </c>
      <c r="S18">
        <f>IF(R18="","",69*10^-3/((R18-13.3)*10^-6))</f>
        <v>4367.088607594937</v>
      </c>
    </row>
    <row r="19" spans="1:6" ht="13.5">
      <c r="A19" s="64">
        <v>16</v>
      </c>
      <c r="B19" s="96"/>
      <c r="C19" s="93"/>
      <c r="D19" s="98">
        <f aca="true" t="shared" si="3" ref="D19:D28">IF(B19="",D18,IF(B19&gt;(B19-$B$32)*(1+$F$32),(B19-$B$32)*(1+$F$32),B19))</f>
        <v>1000</v>
      </c>
      <c r="E19" s="100">
        <f aca="true" t="shared" si="4" ref="E19:E28">IF(B19="",E18,D19*10^-3/((C19+$P$1)*10^-6))</f>
        <v>3951.0075069142636</v>
      </c>
      <c r="F19" s="102">
        <f t="shared" si="2"/>
      </c>
    </row>
    <row r="20" spans="1:6" ht="13.5">
      <c r="A20" s="64">
        <v>17</v>
      </c>
      <c r="B20" s="96"/>
      <c r="C20" s="93"/>
      <c r="D20" s="98">
        <f t="shared" si="3"/>
        <v>1000</v>
      </c>
      <c r="E20" s="100">
        <f t="shared" si="4"/>
        <v>3951.0075069142636</v>
      </c>
      <c r="F20" s="102">
        <f t="shared" si="2"/>
      </c>
    </row>
    <row r="21" spans="1:6" ht="13.5">
      <c r="A21" s="64">
        <v>18</v>
      </c>
      <c r="B21" s="96"/>
      <c r="C21" s="93"/>
      <c r="D21" s="98">
        <f t="shared" si="3"/>
        <v>1000</v>
      </c>
      <c r="E21" s="100">
        <f t="shared" si="4"/>
        <v>3951.0075069142636</v>
      </c>
      <c r="F21" s="102">
        <f t="shared" si="2"/>
      </c>
    </row>
    <row r="22" spans="1:6" ht="13.5">
      <c r="A22" s="64">
        <v>19</v>
      </c>
      <c r="B22" s="96"/>
      <c r="C22" s="93"/>
      <c r="D22" s="98">
        <f t="shared" si="3"/>
        <v>1000</v>
      </c>
      <c r="E22" s="100">
        <f t="shared" si="4"/>
        <v>3951.0075069142636</v>
      </c>
      <c r="F22" s="102">
        <f t="shared" si="2"/>
      </c>
    </row>
    <row r="23" spans="1:6" ht="13.5">
      <c r="A23" s="64">
        <v>20</v>
      </c>
      <c r="B23" s="96"/>
      <c r="C23" s="93"/>
      <c r="D23" s="98">
        <f t="shared" si="3"/>
        <v>1000</v>
      </c>
      <c r="E23" s="100">
        <f t="shared" si="4"/>
        <v>3951.0075069142636</v>
      </c>
      <c r="F23" s="102">
        <f t="shared" si="2"/>
      </c>
    </row>
    <row r="24" spans="1:6" ht="13.5">
      <c r="A24" s="64">
        <v>21</v>
      </c>
      <c r="B24" s="96"/>
      <c r="C24" s="93"/>
      <c r="D24" s="98">
        <f t="shared" si="3"/>
        <v>1000</v>
      </c>
      <c r="E24" s="100">
        <f t="shared" si="4"/>
        <v>3951.0075069142636</v>
      </c>
      <c r="F24" s="102">
        <f t="shared" si="2"/>
      </c>
    </row>
    <row r="25" spans="1:6" ht="13.5">
      <c r="A25" s="64">
        <v>22</v>
      </c>
      <c r="B25" s="96"/>
      <c r="C25" s="93"/>
      <c r="D25" s="98">
        <f t="shared" si="3"/>
        <v>1000</v>
      </c>
      <c r="E25" s="100">
        <f t="shared" si="4"/>
        <v>3951.0075069142636</v>
      </c>
      <c r="F25" s="102">
        <f t="shared" si="2"/>
      </c>
    </row>
    <row r="26" spans="1:6" ht="13.5">
      <c r="A26" s="64">
        <v>23</v>
      </c>
      <c r="B26" s="96"/>
      <c r="C26" s="93"/>
      <c r="D26" s="98">
        <f t="shared" si="3"/>
        <v>1000</v>
      </c>
      <c r="E26" s="100">
        <f t="shared" si="4"/>
        <v>3951.0075069142636</v>
      </c>
      <c r="F26" s="102">
        <f t="shared" si="2"/>
      </c>
    </row>
    <row r="27" spans="1:24" ht="13.5">
      <c r="A27" s="64">
        <v>24</v>
      </c>
      <c r="B27" s="96"/>
      <c r="C27" s="93"/>
      <c r="D27" s="98">
        <f t="shared" si="3"/>
        <v>1000</v>
      </c>
      <c r="E27" s="100">
        <f t="shared" si="4"/>
        <v>3951.0075069142636</v>
      </c>
      <c r="F27" s="102">
        <f t="shared" si="2"/>
      </c>
      <c r="X27" t="s">
        <v>67</v>
      </c>
    </row>
    <row r="28" spans="1:6" ht="13.5">
      <c r="A28" s="64">
        <v>25</v>
      </c>
      <c r="B28" s="96"/>
      <c r="C28" s="93"/>
      <c r="D28" s="98">
        <f t="shared" si="3"/>
        <v>1000</v>
      </c>
      <c r="E28" s="100">
        <f t="shared" si="4"/>
        <v>3951.0075069142636</v>
      </c>
      <c r="F28" s="102">
        <f t="shared" si="2"/>
      </c>
    </row>
    <row r="29" spans="1:6" ht="13.5">
      <c r="A29" s="1"/>
      <c r="B29" s="91" t="s">
        <v>87</v>
      </c>
      <c r="C29" s="91"/>
      <c r="D29" s="91"/>
      <c r="E29" s="97"/>
      <c r="F29" s="102"/>
    </row>
    <row r="30" spans="1:6" ht="13.5">
      <c r="A30" s="1" t="s">
        <v>88</v>
      </c>
      <c r="B30" s="138">
        <f>COUNT(B4:B28)</f>
        <v>13</v>
      </c>
      <c r="C30" s="91"/>
      <c r="D30" s="91"/>
      <c r="E30" s="97"/>
      <c r="F30" s="102"/>
    </row>
    <row r="31" spans="1:6" ht="13.5">
      <c r="A31" s="1"/>
      <c r="B31" s="91"/>
      <c r="C31" s="91"/>
      <c r="D31" s="91"/>
      <c r="E31" s="97"/>
      <c r="F31" s="102"/>
    </row>
    <row r="32" spans="1:12" s="103" customFormat="1" ht="13.5" customHeight="1">
      <c r="A32" s="108" t="s">
        <v>2</v>
      </c>
      <c r="B32" s="109">
        <v>8</v>
      </c>
      <c r="C32" s="110" t="s">
        <v>68</v>
      </c>
      <c r="D32" s="104"/>
      <c r="E32" s="104" t="s">
        <v>69</v>
      </c>
      <c r="F32" s="109">
        <v>0.03</v>
      </c>
      <c r="H32" s="103" t="s">
        <v>27</v>
      </c>
      <c r="K32" s="109">
        <v>6</v>
      </c>
      <c r="L32" s="111" t="s">
        <v>14</v>
      </c>
    </row>
    <row r="33" spans="1:22" s="103" customFormat="1" ht="13.5" customHeight="1" thickBot="1">
      <c r="A33" s="103" t="s">
        <v>70</v>
      </c>
      <c r="D33" s="111"/>
      <c r="E33" s="111"/>
      <c r="F33" s="111"/>
      <c r="G33" s="111"/>
      <c r="H33" s="111"/>
      <c r="I33" s="111"/>
      <c r="S33" s="112" t="s">
        <v>9</v>
      </c>
      <c r="T33" s="113" t="s">
        <v>73</v>
      </c>
      <c r="U33" s="114">
        <v>4419.335845149175</v>
      </c>
      <c r="V33" s="115" t="s">
        <v>6</v>
      </c>
    </row>
    <row r="34" spans="1:9" s="115" customFormat="1" ht="13.5" customHeight="1" thickBot="1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21" s="103" customFormat="1" ht="13.5" customHeight="1">
      <c r="A35" s="104"/>
      <c r="B35" s="104"/>
      <c r="C35" s="104"/>
      <c r="D35" s="104"/>
      <c r="E35" s="104"/>
      <c r="F35" s="104"/>
      <c r="J35" s="135"/>
      <c r="K35" s="105" t="s">
        <v>89</v>
      </c>
      <c r="L35" s="106"/>
      <c r="M35" s="106"/>
      <c r="N35" s="106"/>
      <c r="O35" s="107"/>
      <c r="P35" s="106"/>
      <c r="Q35" s="106"/>
      <c r="R35" s="66" t="s">
        <v>74</v>
      </c>
      <c r="S35" s="146">
        <f>S36*(B59+B60*P36)/P36</f>
        <v>47.6607261408904</v>
      </c>
      <c r="T35" s="122" t="s">
        <v>75</v>
      </c>
      <c r="U35" s="121"/>
    </row>
    <row r="36" spans="4:22" s="103" customFormat="1" ht="13.5" customHeight="1">
      <c r="D36" s="104"/>
      <c r="E36" s="104"/>
      <c r="F36" s="104"/>
      <c r="G36" s="111"/>
      <c r="H36" s="111"/>
      <c r="I36" s="111"/>
      <c r="J36" s="133"/>
      <c r="K36" s="105" t="s">
        <v>39</v>
      </c>
      <c r="N36" s="106" t="s">
        <v>76</v>
      </c>
      <c r="P36" s="89">
        <f>$D$1-$J$1</f>
        <v>14</v>
      </c>
      <c r="Q36" s="106" t="s">
        <v>43</v>
      </c>
      <c r="R36" s="119"/>
      <c r="S36" s="146">
        <f>$E$56*EXP($E$57*$U$33)</f>
        <v>34.15322626323585</v>
      </c>
      <c r="T36" s="105" t="s">
        <v>75</v>
      </c>
      <c r="U36" s="1"/>
      <c r="V36"/>
    </row>
    <row r="37" spans="4:22" s="103" customFormat="1" ht="13.5" customHeight="1">
      <c r="D37" s="104"/>
      <c r="E37" s="104"/>
      <c r="F37" s="104"/>
      <c r="G37" s="111"/>
      <c r="H37" s="111"/>
      <c r="I37" s="111"/>
      <c r="J37" s="134"/>
      <c r="K37" s="105" t="s">
        <v>86</v>
      </c>
      <c r="L37" s="106"/>
      <c r="M37" s="106"/>
      <c r="N37" s="106" t="s">
        <v>45</v>
      </c>
      <c r="O37" s="107"/>
      <c r="P37" s="109">
        <v>365</v>
      </c>
      <c r="Q37" s="106" t="s">
        <v>43</v>
      </c>
      <c r="R37" s="66" t="s">
        <v>91</v>
      </c>
      <c r="S37" s="146">
        <f>$S$35*$P$37/($B$59+$B$60*$P$37)</f>
        <v>75.07488737720783</v>
      </c>
      <c r="T37" s="123" t="s">
        <v>75</v>
      </c>
      <c r="U37" s="35"/>
      <c r="V37"/>
    </row>
    <row r="38" spans="4:22" s="103" customFormat="1" ht="13.5" customHeight="1">
      <c r="D38" s="104"/>
      <c r="E38" s="104"/>
      <c r="F38" s="104"/>
      <c r="G38" s="111"/>
      <c r="H38" s="111"/>
      <c r="I38" s="111"/>
      <c r="J38" s="136"/>
      <c r="K38" s="126" t="s">
        <v>47</v>
      </c>
      <c r="L38" s="127"/>
      <c r="M38" s="127"/>
      <c r="N38" s="36">
        <v>1</v>
      </c>
      <c r="O38" s="5" t="s">
        <v>85</v>
      </c>
      <c r="P38" s="5"/>
      <c r="Q38" s="5"/>
      <c r="R38" s="5"/>
      <c r="S38" s="5"/>
      <c r="T38" s="5"/>
      <c r="U38" s="128"/>
      <c r="V38"/>
    </row>
    <row r="39" spans="10:22" s="103" customFormat="1" ht="13.5" customHeight="1">
      <c r="J39" s="137"/>
      <c r="K39" s="147" t="s">
        <v>90</v>
      </c>
      <c r="L39" s="129"/>
      <c r="M39" s="129"/>
      <c r="N39" s="129"/>
      <c r="O39" s="129"/>
      <c r="P39" s="129"/>
      <c r="Q39" s="130"/>
      <c r="R39" s="131" t="s">
        <v>84</v>
      </c>
      <c r="S39" s="145">
        <f>IF(N38=0,S35,IF(D62&lt;=40,S35*1.1,S35*(1.5-0.01*D62)))</f>
        <v>52.42679875497944</v>
      </c>
      <c r="T39" s="130" t="s">
        <v>75</v>
      </c>
      <c r="U39" s="132"/>
      <c r="V39"/>
    </row>
    <row r="40" ht="17.25" customHeight="1">
      <c r="A40" t="s">
        <v>32</v>
      </c>
    </row>
    <row r="41" spans="4:17" ht="13.5">
      <c r="D41" s="12" t="s">
        <v>31</v>
      </c>
      <c r="E41" s="158">
        <v>39094</v>
      </c>
      <c r="F41" s="159"/>
      <c r="G41" s="160"/>
      <c r="I41" t="s">
        <v>41</v>
      </c>
      <c r="L41" s="36">
        <f>COUNT(B44:C53)</f>
        <v>7</v>
      </c>
      <c r="M41" t="s">
        <v>42</v>
      </c>
      <c r="N41" s="152" t="s">
        <v>61</v>
      </c>
      <c r="O41" s="153"/>
      <c r="P41" s="154"/>
      <c r="Q41" s="65">
        <v>-13.3</v>
      </c>
    </row>
    <row r="42" spans="1:20" ht="15.75">
      <c r="A42" s="155" t="s">
        <v>64</v>
      </c>
      <c r="B42" s="155" t="s">
        <v>33</v>
      </c>
      <c r="C42" s="155"/>
      <c r="D42" s="155" t="s">
        <v>48</v>
      </c>
      <c r="E42" s="155"/>
      <c r="F42" s="155" t="s">
        <v>37</v>
      </c>
      <c r="G42" s="155"/>
      <c r="H42" s="155"/>
      <c r="I42" s="155"/>
      <c r="J42" s="155" t="s">
        <v>34</v>
      </c>
      <c r="K42" s="155"/>
      <c r="L42" s="155"/>
      <c r="M42" s="155"/>
      <c r="N42" s="161" t="s">
        <v>0</v>
      </c>
      <c r="O42" s="162"/>
      <c r="P42" s="163"/>
      <c r="Q42" s="164" t="s">
        <v>38</v>
      </c>
      <c r="R42" s="164"/>
      <c r="S42" s="164"/>
      <c r="T42" s="164"/>
    </row>
    <row r="43" spans="1:20" ht="13.5">
      <c r="A43" s="155"/>
      <c r="B43" s="155"/>
      <c r="C43" s="155"/>
      <c r="D43" s="155"/>
      <c r="E43" s="155"/>
      <c r="F43" s="17">
        <v>1</v>
      </c>
      <c r="G43" s="18">
        <v>2</v>
      </c>
      <c r="H43" s="18">
        <v>3</v>
      </c>
      <c r="I43" s="19" t="s">
        <v>13</v>
      </c>
      <c r="J43" s="17">
        <v>1</v>
      </c>
      <c r="K43" s="18">
        <v>2</v>
      </c>
      <c r="L43" s="18">
        <v>3</v>
      </c>
      <c r="M43" s="19" t="s">
        <v>13</v>
      </c>
      <c r="N43" s="17">
        <v>1</v>
      </c>
      <c r="O43" s="18">
        <v>2</v>
      </c>
      <c r="P43" s="18">
        <v>3</v>
      </c>
      <c r="Q43" s="17">
        <v>1</v>
      </c>
      <c r="R43" s="18">
        <v>2</v>
      </c>
      <c r="S43" s="18">
        <v>3</v>
      </c>
      <c r="T43" s="19" t="s">
        <v>13</v>
      </c>
    </row>
    <row r="44" spans="1:20" ht="13.5">
      <c r="A44" s="21">
        <v>1</v>
      </c>
      <c r="B44" s="165">
        <v>39097</v>
      </c>
      <c r="C44" s="165"/>
      <c r="D44" s="166">
        <f aca="true" t="shared" si="5" ref="D44:D53">+B44-$E$41</f>
        <v>3</v>
      </c>
      <c r="E44" s="166"/>
      <c r="F44" s="38">
        <v>198.03</v>
      </c>
      <c r="G44" s="39">
        <v>197.38</v>
      </c>
      <c r="H44" s="39">
        <v>197.365</v>
      </c>
      <c r="I44" s="30">
        <f>IF(H44=0,IF(G44=0,F44,AVERAGE(F44,G44)),AVERAGE(F44:H44))</f>
        <v>197.59166666666667</v>
      </c>
      <c r="J44" s="44">
        <v>4.462137299809813</v>
      </c>
      <c r="K44" s="45">
        <v>4.692667070080256</v>
      </c>
      <c r="L44" s="45">
        <v>5.045559870979846</v>
      </c>
      <c r="M44" s="30">
        <f>IF(L44=0,IF(K44=0,J44,AVERAGE(J44,K44)),AVERAGE(J44:L44))</f>
        <v>4.733454746956639</v>
      </c>
      <c r="N44" s="50">
        <v>71.4</v>
      </c>
      <c r="O44" s="51">
        <v>71.8</v>
      </c>
      <c r="P44" s="51">
        <v>71.1</v>
      </c>
      <c r="Q44" s="61">
        <f>IF(F44="","",F44/(N44+$Q$41)*1000)</f>
        <v>3408.4337349397583</v>
      </c>
      <c r="R44" s="73">
        <f aca="true" t="shared" si="6" ref="R44:S53">IF(G44="","",G44/(O44+$Q$41)*1000)</f>
        <v>3374.0170940170938</v>
      </c>
      <c r="S44" s="62">
        <f t="shared" si="6"/>
        <v>3414.61937716263</v>
      </c>
      <c r="T44" s="68">
        <f>IF(S44=0,IF(R44=0,Q44,AVERAGE(Q44,R44)),AVERAGE(Q44:S44))</f>
        <v>3399.0234020398275</v>
      </c>
    </row>
    <row r="45" spans="1:20" ht="13.5">
      <c r="A45" s="22">
        <v>2</v>
      </c>
      <c r="B45" s="167">
        <v>39101</v>
      </c>
      <c r="C45" s="168"/>
      <c r="D45" s="169">
        <f t="shared" si="5"/>
        <v>7</v>
      </c>
      <c r="E45" s="169"/>
      <c r="F45" s="40">
        <v>197.645</v>
      </c>
      <c r="G45" s="41">
        <v>197.825</v>
      </c>
      <c r="H45" s="41">
        <v>197.63</v>
      </c>
      <c r="I45" s="30">
        <f aca="true" t="shared" si="7" ref="I45:I53">IF(H45=0,IF(G45=0,F45,AVERAGE(F45,G45)),AVERAGE(F45:H45))</f>
        <v>197.70000000000002</v>
      </c>
      <c r="J45" s="46">
        <v>13.04513647796803</v>
      </c>
      <c r="K45" s="47">
        <v>13.317028171849374</v>
      </c>
      <c r="L45" s="47">
        <v>13.39311197284964</v>
      </c>
      <c r="M45" s="30">
        <f aca="true" t="shared" si="8" ref="M45:M53">IF(L45=0,IF(K45=0,J45,AVERAGE(J45,K45)),AVERAGE(J45:L45))</f>
        <v>13.251758874222348</v>
      </c>
      <c r="N45" s="52">
        <v>64.6</v>
      </c>
      <c r="O45" s="53">
        <v>64.4</v>
      </c>
      <c r="P45" s="53">
        <v>64.6</v>
      </c>
      <c r="Q45" s="14">
        <f aca="true" t="shared" si="9" ref="Q45:Q53">IF(F45="","",F45/(N45+$Q$41)*1000)</f>
        <v>3852.7290448343083</v>
      </c>
      <c r="R45" s="74">
        <f t="shared" si="6"/>
        <v>3871.3307240704494</v>
      </c>
      <c r="S45" s="15">
        <f t="shared" si="6"/>
        <v>3852.4366471734893</v>
      </c>
      <c r="T45" s="69">
        <f aca="true" t="shared" si="10" ref="T45:T53">IF(S45=0,IF(R45=0,Q45,AVERAGE(Q45,R45)),AVERAGE(Q45:S45))</f>
        <v>3858.832138692749</v>
      </c>
    </row>
    <row r="46" spans="1:20" ht="13.5">
      <c r="A46" s="22">
        <v>3</v>
      </c>
      <c r="B46" s="167">
        <v>39107</v>
      </c>
      <c r="C46" s="168"/>
      <c r="D46" s="169">
        <f t="shared" si="5"/>
        <v>13</v>
      </c>
      <c r="E46" s="169"/>
      <c r="F46" s="40">
        <v>198.025</v>
      </c>
      <c r="G46" s="41">
        <v>197.905</v>
      </c>
      <c r="H46" s="41">
        <v>198.505</v>
      </c>
      <c r="I46" s="30">
        <f t="shared" si="7"/>
        <v>198.14499999999998</v>
      </c>
      <c r="J46" s="46">
        <v>22.099085833985253</v>
      </c>
      <c r="K46" s="47">
        <v>22.042471153523067</v>
      </c>
      <c r="L46" s="47">
        <v>21.87346413803207</v>
      </c>
      <c r="M46" s="30">
        <f t="shared" si="8"/>
        <v>22.005007041846795</v>
      </c>
      <c r="N46" s="52">
        <v>61.7</v>
      </c>
      <c r="O46" s="53">
        <v>61.2</v>
      </c>
      <c r="P46" s="53">
        <v>62.3</v>
      </c>
      <c r="Q46" s="86">
        <f t="shared" si="9"/>
        <v>4091.4256198347107</v>
      </c>
      <c r="R46" s="75">
        <f t="shared" si="6"/>
        <v>4131.628392484342</v>
      </c>
      <c r="S46" s="76">
        <f t="shared" si="6"/>
        <v>4051.122448979592</v>
      </c>
      <c r="T46" s="70">
        <f t="shared" si="10"/>
        <v>4091.392153766215</v>
      </c>
    </row>
    <row r="47" spans="1:20" ht="13.5">
      <c r="A47" s="22">
        <v>4</v>
      </c>
      <c r="B47" s="167">
        <v>39122</v>
      </c>
      <c r="C47" s="170"/>
      <c r="D47" s="169">
        <f t="shared" si="5"/>
        <v>28</v>
      </c>
      <c r="E47" s="169"/>
      <c r="F47" s="40">
        <v>198.305</v>
      </c>
      <c r="G47" s="41">
        <v>196.66</v>
      </c>
      <c r="H47" s="41">
        <v>197.125</v>
      </c>
      <c r="I47" s="30">
        <f t="shared" si="7"/>
        <v>197.36333333333334</v>
      </c>
      <c r="J47" s="46">
        <v>30.880296269224747</v>
      </c>
      <c r="K47" s="47">
        <v>30.511963964717104</v>
      </c>
      <c r="L47" s="47">
        <v>29.894218451091106</v>
      </c>
      <c r="M47" s="30">
        <f t="shared" si="8"/>
        <v>30.42882622834432</v>
      </c>
      <c r="N47" s="52">
        <v>59.1</v>
      </c>
      <c r="O47" s="53">
        <v>58.1</v>
      </c>
      <c r="P47" s="53">
        <v>58.8</v>
      </c>
      <c r="Q47" s="87">
        <f t="shared" si="9"/>
        <v>4329.803493449783</v>
      </c>
      <c r="R47" s="77">
        <f t="shared" si="6"/>
        <v>4389.732142857143</v>
      </c>
      <c r="S47" s="78">
        <f t="shared" si="6"/>
        <v>4332.417582417582</v>
      </c>
      <c r="T47" s="71">
        <f t="shared" si="10"/>
        <v>4350.651072908169</v>
      </c>
    </row>
    <row r="48" spans="1:20" ht="13.5">
      <c r="A48" s="22">
        <v>5</v>
      </c>
      <c r="B48" s="167">
        <v>39150</v>
      </c>
      <c r="C48" s="170"/>
      <c r="D48" s="169">
        <f t="shared" si="5"/>
        <v>56</v>
      </c>
      <c r="E48" s="169"/>
      <c r="F48" s="40">
        <v>196.295</v>
      </c>
      <c r="G48" s="41">
        <v>195.19</v>
      </c>
      <c r="H48" s="41">
        <v>194.98</v>
      </c>
      <c r="I48" s="30">
        <f t="shared" si="7"/>
        <v>195.48833333333334</v>
      </c>
      <c r="J48" s="46">
        <v>36.77955479877071</v>
      </c>
      <c r="K48" s="47">
        <v>36.78403467518883</v>
      </c>
      <c r="L48" s="47">
        <v>38.293869074249955</v>
      </c>
      <c r="M48" s="30">
        <f t="shared" si="8"/>
        <v>37.28581951606983</v>
      </c>
      <c r="N48" s="52">
        <v>57.6</v>
      </c>
      <c r="O48" s="53">
        <v>57.1</v>
      </c>
      <c r="P48" s="53">
        <v>57.5</v>
      </c>
      <c r="Q48" s="88">
        <f t="shared" si="9"/>
        <v>4431.038374717833</v>
      </c>
      <c r="R48" s="15">
        <f t="shared" si="6"/>
        <v>4456.392694063928</v>
      </c>
      <c r="S48" s="74">
        <f t="shared" si="6"/>
        <v>4411.31221719457</v>
      </c>
      <c r="T48" s="69">
        <f t="shared" si="10"/>
        <v>4432.914428658776</v>
      </c>
    </row>
    <row r="49" spans="1:20" ht="13.5">
      <c r="A49" s="22">
        <v>6</v>
      </c>
      <c r="B49" s="167">
        <v>39185</v>
      </c>
      <c r="C49" s="170"/>
      <c r="D49" s="169">
        <f t="shared" si="5"/>
        <v>91</v>
      </c>
      <c r="E49" s="169"/>
      <c r="F49" s="40">
        <v>196.99</v>
      </c>
      <c r="G49" s="41">
        <v>194.845</v>
      </c>
      <c r="H49" s="41">
        <v>194.065</v>
      </c>
      <c r="I49" s="30">
        <f t="shared" si="7"/>
        <v>195.30000000000004</v>
      </c>
      <c r="J49" s="46">
        <v>38.296693022502176</v>
      </c>
      <c r="K49" s="47">
        <v>39.5217875126012</v>
      </c>
      <c r="L49" s="47">
        <v>40.428192069176866</v>
      </c>
      <c r="M49" s="30">
        <f t="shared" si="8"/>
        <v>39.415557534760076</v>
      </c>
      <c r="N49" s="52">
        <v>57</v>
      </c>
      <c r="O49" s="53">
        <v>56.6</v>
      </c>
      <c r="P49" s="53">
        <v>56.5</v>
      </c>
      <c r="Q49" s="81">
        <f t="shared" si="9"/>
        <v>4507.780320366133</v>
      </c>
      <c r="R49" s="79">
        <f t="shared" si="6"/>
        <v>4499.884526558892</v>
      </c>
      <c r="S49" s="80">
        <f t="shared" si="6"/>
        <v>4492.24537037037</v>
      </c>
      <c r="T49" s="69">
        <f t="shared" si="10"/>
        <v>4499.970072431798</v>
      </c>
    </row>
    <row r="50" spans="1:20" ht="13.5">
      <c r="A50" s="22">
        <v>7</v>
      </c>
      <c r="B50" s="167">
        <v>39275</v>
      </c>
      <c r="C50" s="170"/>
      <c r="D50" s="169">
        <f t="shared" si="5"/>
        <v>181</v>
      </c>
      <c r="E50" s="169"/>
      <c r="F50" s="40">
        <v>197.365</v>
      </c>
      <c r="G50" s="41">
        <v>196.18</v>
      </c>
      <c r="H50" s="41">
        <v>196.925</v>
      </c>
      <c r="I50" s="30">
        <f t="shared" si="7"/>
        <v>196.82333333333335</v>
      </c>
      <c r="J50" s="46">
        <v>46.15395731820185</v>
      </c>
      <c r="K50" s="47">
        <v>47.69544115385892</v>
      </c>
      <c r="L50" s="47">
        <v>43.48701987557726</v>
      </c>
      <c r="M50" s="30">
        <f t="shared" si="8"/>
        <v>45.77880611587934</v>
      </c>
      <c r="N50" s="52">
        <v>55</v>
      </c>
      <c r="O50" s="53">
        <v>55.4</v>
      </c>
      <c r="P50" s="53">
        <v>55.9</v>
      </c>
      <c r="Q50" s="81">
        <f t="shared" si="9"/>
        <v>4732.973621103118</v>
      </c>
      <c r="R50" s="79">
        <f t="shared" si="6"/>
        <v>4659.8574821852735</v>
      </c>
      <c r="S50" s="80">
        <f t="shared" si="6"/>
        <v>4622.652582159625</v>
      </c>
      <c r="T50" s="69">
        <f t="shared" si="10"/>
        <v>4671.8278951493385</v>
      </c>
    </row>
    <row r="51" spans="1:20" ht="13.5">
      <c r="A51" s="22">
        <v>8</v>
      </c>
      <c r="B51" s="171"/>
      <c r="C51" s="170"/>
      <c r="D51" s="169">
        <f t="shared" si="5"/>
        <v>-39094</v>
      </c>
      <c r="E51" s="169"/>
      <c r="F51" s="40"/>
      <c r="G51" s="41"/>
      <c r="H51" s="41"/>
      <c r="I51" s="30">
        <f t="shared" si="7"/>
        <v>0</v>
      </c>
      <c r="J51" s="46"/>
      <c r="K51" s="47"/>
      <c r="L51" s="47"/>
      <c r="M51" s="30">
        <f t="shared" si="8"/>
        <v>0</v>
      </c>
      <c r="N51" s="52"/>
      <c r="O51" s="53"/>
      <c r="P51" s="84"/>
      <c r="Q51" s="81">
        <f t="shared" si="9"/>
      </c>
      <c r="R51" s="79">
        <f t="shared" si="6"/>
      </c>
      <c r="S51" s="80">
        <f t="shared" si="6"/>
      </c>
      <c r="T51" s="69" t="e">
        <f t="shared" si="10"/>
        <v>#DIV/0!</v>
      </c>
    </row>
    <row r="52" spans="1:20" ht="13.5">
      <c r="A52" s="22">
        <v>9</v>
      </c>
      <c r="B52" s="171"/>
      <c r="C52" s="170"/>
      <c r="D52" s="169">
        <f t="shared" si="5"/>
        <v>-39094</v>
      </c>
      <c r="E52" s="169"/>
      <c r="F52" s="40"/>
      <c r="G52" s="41"/>
      <c r="H52" s="41"/>
      <c r="I52" s="30">
        <f t="shared" si="7"/>
        <v>0</v>
      </c>
      <c r="J52" s="46"/>
      <c r="K52" s="47"/>
      <c r="L52" s="47"/>
      <c r="M52" s="30">
        <f t="shared" si="8"/>
        <v>0</v>
      </c>
      <c r="N52" s="52"/>
      <c r="O52" s="53"/>
      <c r="P52" s="84"/>
      <c r="Q52" s="81">
        <f t="shared" si="9"/>
      </c>
      <c r="R52" s="79">
        <f t="shared" si="6"/>
      </c>
      <c r="S52" s="15">
        <f t="shared" si="6"/>
      </c>
      <c r="T52" s="69" t="e">
        <f t="shared" si="10"/>
        <v>#DIV/0!</v>
      </c>
    </row>
    <row r="53" spans="1:20" ht="13.5">
      <c r="A53" s="23">
        <v>10</v>
      </c>
      <c r="B53" s="174"/>
      <c r="C53" s="175"/>
      <c r="D53" s="176">
        <f t="shared" si="5"/>
        <v>-39094</v>
      </c>
      <c r="E53" s="176"/>
      <c r="F53" s="42"/>
      <c r="G53" s="43"/>
      <c r="H53" s="43"/>
      <c r="I53" s="31">
        <f t="shared" si="7"/>
        <v>0</v>
      </c>
      <c r="J53" s="48"/>
      <c r="K53" s="49"/>
      <c r="L53" s="49"/>
      <c r="M53" s="31">
        <f t="shared" si="8"/>
        <v>0</v>
      </c>
      <c r="N53" s="54"/>
      <c r="O53" s="55"/>
      <c r="P53" s="85"/>
      <c r="Q53" s="16">
        <f t="shared" si="9"/>
      </c>
      <c r="R53" s="82">
        <f t="shared" si="6"/>
      </c>
      <c r="S53" s="83">
        <f t="shared" si="6"/>
      </c>
      <c r="T53" s="72" t="e">
        <f t="shared" si="10"/>
        <v>#DIV/0!</v>
      </c>
    </row>
    <row r="54" spans="2:4" ht="13.5" customHeight="1">
      <c r="B54" s="32"/>
      <c r="C54" s="32"/>
      <c r="D54" s="32"/>
    </row>
    <row r="55" spans="1:4" ht="13.5">
      <c r="A55" t="s">
        <v>29</v>
      </c>
      <c r="D55" t="s">
        <v>30</v>
      </c>
    </row>
    <row r="56" spans="1:6" ht="13.5">
      <c r="A56" s="13" t="s">
        <v>77</v>
      </c>
      <c r="B56" s="172">
        <v>2.6966865435954026</v>
      </c>
      <c r="C56" s="172"/>
      <c r="D56" s="13" t="s">
        <v>78</v>
      </c>
      <c r="E56" s="172">
        <v>0.011396754137707747</v>
      </c>
      <c r="F56" s="172"/>
    </row>
    <row r="57" spans="1:6" ht="13.5">
      <c r="A57" s="13" t="s">
        <v>79</v>
      </c>
      <c r="B57" s="172">
        <v>49.40072290832775</v>
      </c>
      <c r="C57" s="172"/>
      <c r="D57" s="13" t="s">
        <v>80</v>
      </c>
      <c r="E57" s="172">
        <v>0.0018114223549062294</v>
      </c>
      <c r="F57" s="172"/>
    </row>
    <row r="58" spans="1:17" ht="13.5" customHeight="1">
      <c r="A58" s="33" t="s">
        <v>81</v>
      </c>
      <c r="B58" s="172">
        <v>0.9382469857482859</v>
      </c>
      <c r="C58" s="172"/>
      <c r="D58" s="33" t="s">
        <v>81</v>
      </c>
      <c r="E58" s="172">
        <v>1.2767848337923249</v>
      </c>
      <c r="F58" s="17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33" t="s">
        <v>82</v>
      </c>
      <c r="B59" s="173">
        <f>D62/B56</f>
        <v>11.073917106960131</v>
      </c>
      <c r="C59" s="173"/>
      <c r="I59" s="24"/>
      <c r="J59" s="2"/>
      <c r="K59" s="2"/>
      <c r="L59" s="2"/>
      <c r="M59" s="2"/>
      <c r="N59" s="2"/>
      <c r="O59" s="2"/>
      <c r="P59" s="2"/>
      <c r="Q59" s="2"/>
    </row>
    <row r="60" spans="1:17" ht="13.5">
      <c r="A60" s="33" t="s">
        <v>83</v>
      </c>
      <c r="B60" s="173">
        <f>D62/B57</f>
        <v>0.6045029604657095</v>
      </c>
      <c r="C60" s="173"/>
      <c r="I60" s="2"/>
      <c r="J60" s="2"/>
      <c r="K60" s="2"/>
      <c r="L60" s="2"/>
      <c r="M60" s="2"/>
      <c r="N60" s="2"/>
      <c r="O60" s="2"/>
      <c r="P60" s="2"/>
      <c r="Q60" s="2"/>
    </row>
    <row r="61" spans="9:17" ht="13.5">
      <c r="I61" s="2"/>
      <c r="J61" s="25"/>
      <c r="K61" s="2"/>
      <c r="L61" s="20"/>
      <c r="M61" s="20"/>
      <c r="N61" s="2"/>
      <c r="O61" s="2"/>
      <c r="P61" s="2"/>
      <c r="Q61" s="2"/>
    </row>
    <row r="62" spans="3:5" ht="13.5" customHeight="1">
      <c r="C62" s="32" t="s">
        <v>84</v>
      </c>
      <c r="D62" s="120">
        <f>28/(1/B56+28/B57)</f>
        <v>29.862883247230318</v>
      </c>
      <c r="E62" t="s">
        <v>75</v>
      </c>
    </row>
    <row r="63" spans="3:17" ht="13.5">
      <c r="C63" s="67"/>
      <c r="D63" s="67"/>
      <c r="E63" s="67"/>
      <c r="F63" s="67"/>
      <c r="G63" s="67"/>
      <c r="H63" s="67"/>
      <c r="I63" s="67"/>
      <c r="J63" s="67"/>
      <c r="K63" s="67"/>
      <c r="L63" s="2"/>
      <c r="M63" s="2"/>
      <c r="N63" s="2"/>
      <c r="O63" s="2"/>
      <c r="P63" s="2"/>
      <c r="Q63" s="2"/>
    </row>
    <row r="64" spans="12:17" ht="13.5">
      <c r="L64" s="2"/>
      <c r="M64" s="2"/>
      <c r="N64" s="2"/>
      <c r="O64" s="2"/>
      <c r="P64" s="2"/>
      <c r="Q64" s="2"/>
    </row>
    <row r="65" spans="12:17" ht="13.5">
      <c r="L65" s="2"/>
      <c r="M65" s="2"/>
      <c r="N65" s="2"/>
      <c r="O65" s="2"/>
      <c r="P65" s="2"/>
      <c r="Q65" s="2"/>
    </row>
    <row r="66" spans="12:17" ht="13.5">
      <c r="L66" s="2"/>
      <c r="M66" s="2"/>
      <c r="N66" s="2"/>
      <c r="O66" s="2"/>
      <c r="P66" s="2"/>
      <c r="Q66" s="2"/>
    </row>
    <row r="67" spans="9:17" ht="13.5">
      <c r="I67" s="2"/>
      <c r="J67" s="2"/>
      <c r="K67" s="2"/>
      <c r="L67" s="2"/>
      <c r="M67" s="2"/>
      <c r="N67" s="2"/>
      <c r="O67" s="2"/>
      <c r="P67" s="2"/>
      <c r="Q67" s="2"/>
    </row>
    <row r="68" spans="9:17" ht="14.25" customHeight="1">
      <c r="I68" s="2"/>
      <c r="J68" s="2"/>
      <c r="K68" s="2"/>
      <c r="L68" s="2"/>
      <c r="M68" s="2"/>
      <c r="N68" s="2"/>
      <c r="O68" s="2"/>
      <c r="P68" s="2"/>
      <c r="Q68" s="2"/>
    </row>
    <row r="69" spans="9:17" ht="14.25" customHeight="1"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/>
    <row r="71" spans="10:14" ht="14.25" customHeight="1">
      <c r="J71" t="s">
        <v>9</v>
      </c>
      <c r="K71" t="s">
        <v>62</v>
      </c>
      <c r="M71" t="s">
        <v>9</v>
      </c>
      <c r="N71" t="s">
        <v>63</v>
      </c>
    </row>
    <row r="72" spans="10:14" ht="14.25" customHeight="1">
      <c r="J72">
        <v>2000</v>
      </c>
      <c r="K72">
        <f aca="true" t="shared" si="11" ref="K72:K91">E$56*EXP(E$57*J72)</f>
        <v>0.4267393050254157</v>
      </c>
      <c r="M72" s="124">
        <f>U33</f>
        <v>4419.335845149175</v>
      </c>
      <c r="N72" s="125">
        <v>0</v>
      </c>
    </row>
    <row r="73" spans="10:14" ht="14.25" customHeight="1">
      <c r="J73">
        <v>2500</v>
      </c>
      <c r="K73">
        <f t="shared" si="11"/>
        <v>1.0556209778649601</v>
      </c>
      <c r="M73" s="124">
        <f>U33</f>
        <v>4419.335845149175</v>
      </c>
      <c r="N73" s="125">
        <v>80</v>
      </c>
    </row>
    <row r="74" spans="10:14" ht="13.5">
      <c r="J74">
        <v>3000</v>
      </c>
      <c r="K74">
        <f t="shared" si="11"/>
        <v>2.6112796168194694</v>
      </c>
      <c r="N74" s="125"/>
    </row>
    <row r="75" spans="10:14" ht="13.5">
      <c r="J75">
        <v>3500</v>
      </c>
      <c r="K75">
        <f t="shared" si="11"/>
        <v>6.459497660806364</v>
      </c>
      <c r="M75">
        <v>0</v>
      </c>
      <c r="N75" s="125">
        <f>S36</f>
        <v>34.15322626323585</v>
      </c>
    </row>
    <row r="76" spans="10:14" ht="13.5">
      <c r="J76">
        <v>4000</v>
      </c>
      <c r="K76">
        <f t="shared" si="11"/>
        <v>15.978798195799476</v>
      </c>
      <c r="M76" s="124">
        <f>U33</f>
        <v>4419.335845149175</v>
      </c>
      <c r="N76" s="125">
        <f>S36</f>
        <v>34.15322626323585</v>
      </c>
    </row>
    <row r="77" spans="10:11" ht="13.5">
      <c r="J77">
        <v>4100</v>
      </c>
      <c r="K77">
        <f t="shared" si="11"/>
        <v>19.151958199157907</v>
      </c>
    </row>
    <row r="78" spans="10:11" ht="13.5">
      <c r="J78">
        <v>4200</v>
      </c>
      <c r="K78">
        <f t="shared" si="11"/>
        <v>22.95526223985455</v>
      </c>
    </row>
    <row r="79" spans="10:11" ht="13.5">
      <c r="J79">
        <v>4300</v>
      </c>
      <c r="K79">
        <f t="shared" si="11"/>
        <v>27.513847880247642</v>
      </c>
    </row>
    <row r="80" spans="10:11" ht="13.5">
      <c r="J80">
        <v>4400</v>
      </c>
      <c r="K80">
        <f t="shared" si="11"/>
        <v>32.97770320667895</v>
      </c>
    </row>
    <row r="81" spans="10:11" ht="13.5">
      <c r="J81">
        <v>4500</v>
      </c>
      <c r="K81">
        <f t="shared" si="11"/>
        <v>39.526601786896805</v>
      </c>
    </row>
    <row r="82" spans="10:11" ht="13.5">
      <c r="J82">
        <v>4600</v>
      </c>
      <c r="K82">
        <f t="shared" si="11"/>
        <v>47.37601763919971</v>
      </c>
    </row>
    <row r="83" spans="10:11" ht="13.5">
      <c r="J83">
        <v>4700</v>
      </c>
      <c r="K83">
        <f t="shared" si="11"/>
        <v>56.78421482956354</v>
      </c>
    </row>
    <row r="84" spans="10:11" ht="13.5">
      <c r="J84">
        <v>4800</v>
      </c>
      <c r="K84">
        <f t="shared" si="11"/>
        <v>68.0607449610131</v>
      </c>
    </row>
    <row r="85" spans="10:11" ht="13.5">
      <c r="J85">
        <v>4900</v>
      </c>
      <c r="K85">
        <f t="shared" si="11"/>
        <v>81.57663214243068</v>
      </c>
    </row>
    <row r="86" spans="10:11" ht="13.5">
      <c r="J86">
        <v>5000</v>
      </c>
      <c r="K86">
        <f t="shared" si="11"/>
        <v>97.77658054600302</v>
      </c>
    </row>
    <row r="87" spans="10:11" ht="13.5">
      <c r="J87">
        <v>5100</v>
      </c>
      <c r="K87">
        <f t="shared" si="11"/>
        <v>117.19360621037939</v>
      </c>
    </row>
    <row r="88" spans="10:11" ht="13.5">
      <c r="J88">
        <v>5200</v>
      </c>
      <c r="K88">
        <f t="shared" si="11"/>
        <v>140.46657450995244</v>
      </c>
    </row>
    <row r="89" spans="10:11" ht="13.5">
      <c r="J89">
        <v>5300</v>
      </c>
      <c r="K89">
        <f t="shared" si="11"/>
        <v>168.36122031384758</v>
      </c>
    </row>
    <row r="90" spans="10:11" ht="13.5">
      <c r="J90">
        <v>5400</v>
      </c>
      <c r="K90">
        <f t="shared" si="11"/>
        <v>201.79534244682262</v>
      </c>
    </row>
    <row r="91" spans="10:11" ht="13.5">
      <c r="J91">
        <v>5500</v>
      </c>
      <c r="K91">
        <f t="shared" si="11"/>
        <v>241.86900140852117</v>
      </c>
    </row>
    <row r="96" spans="1:22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3.5">
      <c r="A97" s="56">
        <v>1</v>
      </c>
      <c r="B97" s="56">
        <v>2</v>
      </c>
      <c r="C97" s="56">
        <v>3</v>
      </c>
      <c r="D97" s="56">
        <v>4</v>
      </c>
      <c r="E97" s="56">
        <v>5</v>
      </c>
      <c r="F97" s="56">
        <v>6</v>
      </c>
      <c r="G97" s="56">
        <v>7</v>
      </c>
      <c r="H97" s="56">
        <v>8</v>
      </c>
      <c r="I97" s="56">
        <v>9</v>
      </c>
      <c r="J97" s="56">
        <v>10</v>
      </c>
      <c r="K97" s="56">
        <v>11</v>
      </c>
      <c r="L97" s="56">
        <v>12</v>
      </c>
      <c r="M97" s="56">
        <v>13</v>
      </c>
      <c r="N97" s="56">
        <v>14</v>
      </c>
      <c r="O97" s="56">
        <v>15</v>
      </c>
      <c r="P97" s="56">
        <v>16</v>
      </c>
      <c r="Q97" s="56">
        <v>17</v>
      </c>
      <c r="R97" s="56">
        <v>18</v>
      </c>
      <c r="S97" s="56">
        <v>19</v>
      </c>
      <c r="T97" s="56">
        <v>20</v>
      </c>
      <c r="U97" s="56"/>
      <c r="V97" s="56"/>
    </row>
    <row r="98" spans="1:40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 t="s">
        <v>71</v>
      </c>
      <c r="T100" s="56" t="s">
        <v>72</v>
      </c>
      <c r="U100" s="56"/>
      <c r="V100" s="5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>
        <v>43.259999971836805</v>
      </c>
      <c r="T101">
        <v>3581.639801254843</v>
      </c>
      <c r="U101" s="56"/>
      <c r="V101" s="5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>
        <v>94.75999993830919</v>
      </c>
      <c r="T102">
        <v>3703.0505664442785</v>
      </c>
      <c r="U102" s="56"/>
      <c r="V102" s="56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ht="12.75" customHeight="1">
      <c r="A103" t="s">
        <v>49</v>
      </c>
      <c r="D103">
        <v>4026.8456508231793</v>
      </c>
      <c r="E103" t="s">
        <v>50</v>
      </c>
      <c r="H103" s="3">
        <v>6</v>
      </c>
      <c r="L103" s="56"/>
      <c r="M103" s="56"/>
      <c r="N103" s="56"/>
      <c r="O103" s="56"/>
      <c r="P103" s="56"/>
      <c r="Q103" s="56"/>
      <c r="R103" s="56"/>
      <c r="S103">
        <v>146.25999990478158</v>
      </c>
      <c r="T103">
        <v>3796.700710329114</v>
      </c>
      <c r="U103" s="56"/>
      <c r="V103" s="56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ht="12.75" customHeight="1">
      <c r="A104" t="s">
        <v>51</v>
      </c>
      <c r="D104">
        <v>3989.2659143409282</v>
      </c>
      <c r="E104" t="s">
        <v>52</v>
      </c>
      <c r="L104" s="56"/>
      <c r="M104" s="56"/>
      <c r="N104" s="56"/>
      <c r="O104" s="56"/>
      <c r="P104" s="56"/>
      <c r="Q104" s="56"/>
      <c r="R104" s="56"/>
      <c r="S104">
        <v>197.75999987125397</v>
      </c>
      <c r="T104">
        <v>3877.2024715579173</v>
      </c>
      <c r="U104" s="56"/>
      <c r="V104" s="56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ht="12.75" customHeight="1">
      <c r="A105" t="s">
        <v>53</v>
      </c>
      <c r="L105" s="56"/>
      <c r="M105" s="56"/>
      <c r="N105" s="56"/>
      <c r="O105" s="56"/>
      <c r="P105" s="56"/>
      <c r="Q105" s="56"/>
      <c r="R105" s="56"/>
      <c r="S105">
        <v>249.25999983772635</v>
      </c>
      <c r="T105">
        <v>3949.715982843326</v>
      </c>
      <c r="U105" s="56"/>
      <c r="V105" s="5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ht="12.75" customHeight="1">
      <c r="A106" t="s">
        <v>54</v>
      </c>
      <c r="D106">
        <v>-0.12039723930117516</v>
      </c>
      <c r="F106" t="s">
        <v>55</v>
      </c>
      <c r="G106">
        <v>4067.524119886692</v>
      </c>
      <c r="H106" t="s">
        <v>56</v>
      </c>
      <c r="L106" s="56"/>
      <c r="M106" s="56"/>
      <c r="N106" s="56"/>
      <c r="O106" s="56"/>
      <c r="P106" s="56"/>
      <c r="Q106" s="56"/>
      <c r="R106" s="56"/>
      <c r="S106">
        <v>300</v>
      </c>
      <c r="T106">
        <v>4015.813014487886</v>
      </c>
      <c r="U106" s="56"/>
      <c r="V106" s="5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ht="12.75" customHeight="1">
      <c r="A107" t="s">
        <v>57</v>
      </c>
      <c r="C107">
        <v>311.35820556727924</v>
      </c>
      <c r="D107" t="s">
        <v>58</v>
      </c>
      <c r="F107">
        <v>4030.0374515026238</v>
      </c>
      <c r="G107" t="s">
        <v>59</v>
      </c>
      <c r="H107">
        <v>77.25938265193736</v>
      </c>
      <c r="I107" t="s">
        <v>60</v>
      </c>
      <c r="L107" s="56"/>
      <c r="M107" s="56"/>
      <c r="N107" s="56"/>
      <c r="O107" s="56"/>
      <c r="P107" s="56"/>
      <c r="Q107" s="56"/>
      <c r="R107" s="56"/>
      <c r="S107">
        <v>311.35820556727924</v>
      </c>
      <c r="T107">
        <v>4030.0374515026183</v>
      </c>
      <c r="U107" s="56"/>
      <c r="V107" s="5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2:40" ht="12.75" customHeight="1">
      <c r="L108" s="56"/>
      <c r="M108" s="56"/>
      <c r="N108" s="56"/>
      <c r="O108" s="56"/>
      <c r="P108" s="56"/>
      <c r="Q108" s="56"/>
      <c r="R108" s="56"/>
      <c r="S108">
        <v>400</v>
      </c>
      <c r="T108">
        <v>4019.365224166222</v>
      </c>
      <c r="U108" s="56"/>
      <c r="V108" s="5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ht="12.75" customHeight="1">
      <c r="A109" s="56" t="s">
        <v>25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>
        <v>500</v>
      </c>
      <c r="T109">
        <v>4007.3255002361043</v>
      </c>
      <c r="U109" s="56"/>
      <c r="V109" s="5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ht="12.75" customHeight="1">
      <c r="A110" s="56" t="s">
        <v>15</v>
      </c>
      <c r="B110" s="56" t="s">
        <v>16</v>
      </c>
      <c r="C110" s="56"/>
      <c r="D110" s="56" t="s">
        <v>28</v>
      </c>
      <c r="E110" s="56"/>
      <c r="F110" s="56" t="s">
        <v>17</v>
      </c>
      <c r="G110" s="56" t="s">
        <v>18</v>
      </c>
      <c r="H110" s="56" t="s">
        <v>26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>
        <v>600</v>
      </c>
      <c r="T110">
        <v>3995.285776305987</v>
      </c>
      <c r="U110" s="56"/>
      <c r="V110" s="5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2.75" customHeight="1">
      <c r="A111">
        <v>0.30055</v>
      </c>
      <c r="B111">
        <v>1.4550757999999981</v>
      </c>
      <c r="D111">
        <v>1.020399502842769</v>
      </c>
      <c r="F111">
        <v>3049.462890625</v>
      </c>
      <c r="G111">
        <v>2.3911077641320975</v>
      </c>
      <c r="H111">
        <v>1.2568524733220573E-12</v>
      </c>
      <c r="J111" s="56"/>
      <c r="K111" s="56"/>
      <c r="L111" s="56"/>
      <c r="M111" s="56"/>
      <c r="N111" s="56"/>
      <c r="O111" s="56"/>
      <c r="P111" s="56"/>
      <c r="Q111" s="56"/>
      <c r="R111" s="56"/>
      <c r="S111">
        <v>700</v>
      </c>
      <c r="T111">
        <v>3983.2460523758696</v>
      </c>
      <c r="U111" s="56"/>
      <c r="V111" s="5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ht="12.75" customHeight="1">
      <c r="A112" s="57" t="s">
        <v>19</v>
      </c>
      <c r="B112" s="57" t="s">
        <v>20</v>
      </c>
      <c r="C112" s="57"/>
      <c r="D112" s="57" t="s">
        <v>21</v>
      </c>
      <c r="E112" s="57"/>
      <c r="F112" s="57" t="s">
        <v>22</v>
      </c>
      <c r="G112" s="57" t="s">
        <v>23</v>
      </c>
      <c r="H112" s="57" t="s">
        <v>24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>
        <v>800</v>
      </c>
      <c r="T112">
        <v>3971.2063284457518</v>
      </c>
      <c r="U112" s="56"/>
      <c r="V112" s="5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ht="12.75" customHeight="1">
      <c r="A113" s="58"/>
      <c r="B113" s="58"/>
      <c r="C113" s="58"/>
      <c r="D113" s="58"/>
      <c r="E113" s="58"/>
      <c r="F113" s="58"/>
      <c r="G113" s="59">
        <v>0</v>
      </c>
      <c r="H113" s="59">
        <v>3327.2334054233906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>
        <v>900</v>
      </c>
      <c r="T113">
        <v>3959.1666045156344</v>
      </c>
      <c r="U113" s="56"/>
      <c r="V113" s="56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ht="12.75" customHeight="1">
      <c r="A114" s="59">
        <v>43.259999971836805</v>
      </c>
      <c r="B114" s="141">
        <v>1.1699999959091656E-05</v>
      </c>
      <c r="C114" s="139"/>
      <c r="D114" s="141">
        <v>1.2379965670753932E-05</v>
      </c>
      <c r="E114" s="139"/>
      <c r="F114" s="60">
        <v>1.2067267521909046</v>
      </c>
      <c r="G114" s="59">
        <v>4.1566018131230855</v>
      </c>
      <c r="H114" s="59">
        <v>3679.868449930594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>
        <v>1000</v>
      </c>
      <c r="T114">
        <v>3947.126880585517</v>
      </c>
      <c r="U114" s="56"/>
      <c r="V114" s="56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ht="12.75" customHeight="1">
      <c r="A115" s="59">
        <v>94.75999993830919</v>
      </c>
      <c r="B115" s="141">
        <v>2.6199999410891905E-05</v>
      </c>
      <c r="C115" s="139"/>
      <c r="D115" s="141">
        <v>2.5854672883013797E-05</v>
      </c>
      <c r="E115" s="139"/>
      <c r="F115" s="60">
        <v>1.292627912347598</v>
      </c>
      <c r="G115" s="59">
        <v>10.632619599977428</v>
      </c>
      <c r="H115" s="59">
        <v>3941.8208500900655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U115" s="56"/>
      <c r="V115" s="5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ht="12.75" customHeight="1">
      <c r="A116" s="59">
        <v>146.25999990478158</v>
      </c>
      <c r="B116" s="141">
        <v>3.810000271187164E-05</v>
      </c>
      <c r="C116" s="139"/>
      <c r="D116" s="141">
        <v>3.863866464800277E-05</v>
      </c>
      <c r="E116" s="139"/>
      <c r="F116" s="60">
        <v>1.3466279947209172</v>
      </c>
      <c r="G116" s="59">
        <v>17.218837735908203</v>
      </c>
      <c r="H116" s="59">
        <v>4106.4920973781955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U116" s="56"/>
      <c r="V116" s="56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ht="12.75" customHeight="1">
      <c r="A117" s="59">
        <v>197.75999987125397</v>
      </c>
      <c r="B117" s="141">
        <v>5.079999755253084E-05</v>
      </c>
      <c r="C117" s="139"/>
      <c r="D117" s="141">
        <v>5.0990828090663984E-05</v>
      </c>
      <c r="E117" s="139"/>
      <c r="F117" s="60">
        <v>1.3863568075388288</v>
      </c>
      <c r="G117" s="59">
        <v>23.835987462344136</v>
      </c>
      <c r="H117" s="59">
        <v>4227.6436377550035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U117" s="56"/>
      <c r="V117" s="56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ht="12.75" customHeight="1">
      <c r="A118" s="59">
        <v>249.25999983772635</v>
      </c>
      <c r="B118" s="141">
        <v>6.36000040685758E-05</v>
      </c>
      <c r="C118" s="139"/>
      <c r="D118" s="141">
        <v>6.303146615151824E-05</v>
      </c>
      <c r="E118" s="139"/>
      <c r="F118" s="60">
        <v>1.417960862213734</v>
      </c>
      <c r="G118" s="59">
        <v>30.466991593708354</v>
      </c>
      <c r="H118" s="59">
        <v>4324.019029679411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U118" s="56"/>
      <c r="V118" s="56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ht="12.75" customHeight="1">
      <c r="A119" s="59">
        <v>300</v>
      </c>
      <c r="B119" s="141">
        <v>7.449999975506216E-05</v>
      </c>
      <c r="C119" s="139"/>
      <c r="D119" s="141">
        <v>7.465712631836113E-05</v>
      </c>
      <c r="E119" s="139"/>
      <c r="F119" s="60">
        <v>1.443937010390329</v>
      </c>
      <c r="G119" s="59">
        <v>37.00764574811299</v>
      </c>
      <c r="H119" s="59">
        <v>4403.232329585314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U119" s="56"/>
      <c r="V119" s="56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ht="12.75" customHeight="1">
      <c r="A120" s="59">
        <v>311.35820556727924</v>
      </c>
      <c r="B120" s="141">
        <v>7.725938485236838E-05</v>
      </c>
      <c r="C120" s="139"/>
      <c r="D120" s="141">
        <v>7.723196957045659E-05</v>
      </c>
      <c r="E120" s="139"/>
      <c r="F120" s="60">
        <v>1.4492177815101774</v>
      </c>
      <c r="G120" s="59">
        <v>38.472484357383046</v>
      </c>
      <c r="H120" s="59">
        <v>4419.335845149175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U120" s="56"/>
      <c r="V120" s="5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ht="12.75" customHeight="1">
      <c r="A121" s="59"/>
      <c r="B121" s="141"/>
      <c r="C121" s="139"/>
      <c r="D121" s="141"/>
      <c r="E121" s="139"/>
      <c r="F121" s="60"/>
      <c r="G121" s="59">
        <v>250</v>
      </c>
      <c r="H121" s="59">
        <v>4419.335845149175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U121" s="56"/>
      <c r="V121" s="5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ht="12.75" customHeight="1">
      <c r="A122" s="59"/>
      <c r="B122" s="141"/>
      <c r="C122" s="139"/>
      <c r="D122" s="144"/>
      <c r="E122" s="140"/>
      <c r="F122" s="60"/>
      <c r="G122" s="59"/>
      <c r="H122" s="59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U122" s="56"/>
      <c r="V122" s="5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ht="12.75" customHeight="1">
      <c r="A123" s="59"/>
      <c r="B123" s="141"/>
      <c r="C123" s="139"/>
      <c r="D123" s="141"/>
      <c r="E123" s="139"/>
      <c r="F123" s="60"/>
      <c r="G123" s="59"/>
      <c r="H123" s="59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U123" s="56"/>
      <c r="V123" s="56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ht="12.75" customHeight="1">
      <c r="A124" s="59"/>
      <c r="B124" s="141"/>
      <c r="C124" s="139"/>
      <c r="D124" s="141"/>
      <c r="E124" s="139"/>
      <c r="F124" s="60"/>
      <c r="G124" s="59"/>
      <c r="H124" s="59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U124" s="56"/>
      <c r="V124" s="5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ht="12.75" customHeight="1">
      <c r="A125" s="59"/>
      <c r="B125" s="141"/>
      <c r="C125" s="139"/>
      <c r="D125" s="141"/>
      <c r="E125" s="139"/>
      <c r="F125" s="60"/>
      <c r="G125" s="59"/>
      <c r="H125" s="59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U125" s="56"/>
      <c r="V125" s="5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ht="12.75" customHeight="1">
      <c r="A126" s="59"/>
      <c r="B126" s="141"/>
      <c r="C126" s="139"/>
      <c r="D126" s="141"/>
      <c r="E126" s="139"/>
      <c r="F126" s="60"/>
      <c r="G126" s="59"/>
      <c r="H126" s="59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U126" s="56"/>
      <c r="V126" s="56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ht="12.75" customHeight="1">
      <c r="A127" s="59"/>
      <c r="B127" s="141"/>
      <c r="C127" s="139"/>
      <c r="D127" s="141"/>
      <c r="E127" s="139"/>
      <c r="F127" s="60"/>
      <c r="G127" s="59"/>
      <c r="H127" s="59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U127" s="56"/>
      <c r="V127" s="56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ht="12.75" customHeight="1">
      <c r="A128" s="59"/>
      <c r="B128" s="141"/>
      <c r="C128" s="139"/>
      <c r="D128" s="141"/>
      <c r="E128" s="139"/>
      <c r="F128" s="60"/>
      <c r="G128" s="59"/>
      <c r="H128" s="59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U128" s="56"/>
      <c r="V128" s="5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ht="12.75" customHeight="1">
      <c r="A129" s="59"/>
      <c r="B129" s="141"/>
      <c r="C129" s="139"/>
      <c r="D129" s="141"/>
      <c r="E129" s="139"/>
      <c r="F129" s="60"/>
      <c r="G129" s="59"/>
      <c r="H129" s="59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ht="12.75" customHeight="1">
      <c r="A130" s="57"/>
      <c r="B130" s="57"/>
      <c r="C130" s="57"/>
      <c r="D130" s="57"/>
      <c r="E130" s="142"/>
      <c r="F130" s="57"/>
      <c r="G130" s="57"/>
      <c r="H130" s="57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U130" s="56"/>
      <c r="V130" s="5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18" ht="12.75" customHeight="1">
      <c r="A131" s="1"/>
      <c r="B131" s="1"/>
      <c r="C131" s="1"/>
      <c r="D131" s="1"/>
      <c r="E131" s="143"/>
      <c r="F131" s="1"/>
      <c r="G131" s="1"/>
      <c r="H131" s="1"/>
      <c r="R131" s="37"/>
    </row>
    <row r="132" spans="1:8" ht="12.75" customHeight="1">
      <c r="A132" s="1"/>
      <c r="B132" s="1"/>
      <c r="C132" s="1"/>
      <c r="D132" s="1"/>
      <c r="E132" s="143"/>
      <c r="F132" s="1"/>
      <c r="G132" s="1"/>
      <c r="H132" s="1"/>
    </row>
    <row r="133" spans="1:8" ht="12.75" customHeight="1">
      <c r="A133" s="1"/>
      <c r="B133" s="1"/>
      <c r="C133" s="1"/>
      <c r="D133" s="1"/>
      <c r="E133" s="143"/>
      <c r="F133" s="1"/>
      <c r="G133" s="1"/>
      <c r="H133" s="1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5" ht="13.5">
      <c r="B145" s="34"/>
    </row>
    <row r="146" ht="13.5">
      <c r="B146" s="34"/>
    </row>
    <row r="147" ht="13.5">
      <c r="B147" s="34"/>
    </row>
    <row r="148" ht="13.5">
      <c r="B148" s="34"/>
    </row>
    <row r="149" ht="13.5">
      <c r="B149" s="34"/>
    </row>
    <row r="150" ht="13.5">
      <c r="B150" s="34"/>
    </row>
    <row r="151" ht="13.5">
      <c r="B151" s="34"/>
    </row>
    <row r="152" ht="13.5">
      <c r="B152" s="34"/>
    </row>
    <row r="153" ht="13.5">
      <c r="B153" s="34"/>
    </row>
    <row r="154" ht="13.5">
      <c r="B154" s="34"/>
    </row>
    <row r="170" spans="1:12" ht="13.5">
      <c r="A170" t="s">
        <v>3</v>
      </c>
      <c r="G170" t="s">
        <v>4</v>
      </c>
      <c r="H170" s="10"/>
      <c r="I170" t="s">
        <v>5</v>
      </c>
      <c r="K170" s="11" t="e">
        <f>+(H178*10^-3)/((H170-13.3)*10^-6)</f>
        <v>#DIV/0!</v>
      </c>
      <c r="L170" t="s">
        <v>6</v>
      </c>
    </row>
    <row r="171" spans="1:27" ht="13.5">
      <c r="A171" s="1" t="s">
        <v>7</v>
      </c>
      <c r="B171" s="1">
        <v>10</v>
      </c>
      <c r="C171" s="1"/>
      <c r="D171" s="1">
        <v>20</v>
      </c>
      <c r="E171" s="1"/>
      <c r="F171" s="1">
        <v>30</v>
      </c>
      <c r="G171" s="1">
        <v>40</v>
      </c>
      <c r="H171" s="1">
        <v>50</v>
      </c>
      <c r="I171" s="1">
        <v>60</v>
      </c>
      <c r="J171" s="1">
        <v>70</v>
      </c>
      <c r="K171" s="1">
        <v>80</v>
      </c>
      <c r="L171" s="1">
        <v>90</v>
      </c>
      <c r="M171" s="1">
        <v>100</v>
      </c>
      <c r="N171" s="1">
        <v>110</v>
      </c>
      <c r="O171" s="1">
        <v>120</v>
      </c>
      <c r="P171" s="1">
        <v>130</v>
      </c>
      <c r="Q171" s="1">
        <v>140</v>
      </c>
      <c r="R171" s="1">
        <v>150</v>
      </c>
      <c r="S171" s="1">
        <v>160</v>
      </c>
      <c r="T171" s="1">
        <v>170</v>
      </c>
      <c r="U171" s="1">
        <v>180</v>
      </c>
      <c r="V171" s="1">
        <v>190</v>
      </c>
      <c r="W171" s="1">
        <v>200</v>
      </c>
      <c r="X171" s="1">
        <v>210</v>
      </c>
      <c r="Y171" s="1">
        <v>220</v>
      </c>
      <c r="Z171" s="1">
        <v>230</v>
      </c>
      <c r="AA171" s="1">
        <v>240</v>
      </c>
    </row>
    <row r="172" spans="1:27" ht="13.5">
      <c r="A172" s="1" t="s">
        <v>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3.5">
      <c r="A173" s="1" t="s">
        <v>9</v>
      </c>
      <c r="B173" s="7" t="e">
        <f>+($D$176*10^-3)/((B172-13.3)*10^-6)</f>
        <v>#DIV/0!</v>
      </c>
      <c r="C173" s="7"/>
      <c r="D173" s="7" t="e">
        <f>+($D$176*10^-3)/((D172-13.3)*10^-6)</f>
        <v>#DIV/0!</v>
      </c>
      <c r="E173" s="7"/>
      <c r="F173" s="7" t="e">
        <f aca="true" t="shared" si="12" ref="F173:AA173">+($D$176*10^-3)/((F172-13.3)*10^-6)</f>
        <v>#DIV/0!</v>
      </c>
      <c r="G173" s="7" t="e">
        <f t="shared" si="12"/>
        <v>#DIV/0!</v>
      </c>
      <c r="H173" s="7" t="e">
        <f t="shared" si="12"/>
        <v>#DIV/0!</v>
      </c>
      <c r="I173" s="7" t="e">
        <f t="shared" si="12"/>
        <v>#DIV/0!</v>
      </c>
      <c r="J173" s="7" t="e">
        <f t="shared" si="12"/>
        <v>#DIV/0!</v>
      </c>
      <c r="K173" s="7" t="e">
        <f t="shared" si="12"/>
        <v>#DIV/0!</v>
      </c>
      <c r="L173" s="7" t="e">
        <f t="shared" si="12"/>
        <v>#DIV/0!</v>
      </c>
      <c r="M173" s="7" t="e">
        <f t="shared" si="12"/>
        <v>#DIV/0!</v>
      </c>
      <c r="N173" s="7" t="e">
        <f t="shared" si="12"/>
        <v>#DIV/0!</v>
      </c>
      <c r="O173" s="7" t="e">
        <f t="shared" si="12"/>
        <v>#DIV/0!</v>
      </c>
      <c r="P173" s="7" t="e">
        <f t="shared" si="12"/>
        <v>#DIV/0!</v>
      </c>
      <c r="Q173" s="7" t="e">
        <f t="shared" si="12"/>
        <v>#DIV/0!</v>
      </c>
      <c r="R173" s="7" t="e">
        <f t="shared" si="12"/>
        <v>#DIV/0!</v>
      </c>
      <c r="S173" s="7" t="e">
        <f t="shared" si="12"/>
        <v>#DIV/0!</v>
      </c>
      <c r="T173" s="7" t="e">
        <f t="shared" si="12"/>
        <v>#DIV/0!</v>
      </c>
      <c r="U173" s="7" t="e">
        <f t="shared" si="12"/>
        <v>#DIV/0!</v>
      </c>
      <c r="V173" s="7" t="e">
        <f t="shared" si="12"/>
        <v>#DIV/0!</v>
      </c>
      <c r="W173" s="7" t="e">
        <f t="shared" si="12"/>
        <v>#DIV/0!</v>
      </c>
      <c r="X173" s="7" t="e">
        <f t="shared" si="12"/>
        <v>#DIV/0!</v>
      </c>
      <c r="Y173" s="7" t="e">
        <f t="shared" si="12"/>
        <v>#DIV/0!</v>
      </c>
      <c r="Z173" s="7" t="e">
        <f t="shared" si="12"/>
        <v>#DIV/0!</v>
      </c>
      <c r="AA173" s="7" t="e">
        <f t="shared" si="12"/>
        <v>#DIV/0!</v>
      </c>
    </row>
    <row r="174" spans="1:9" ht="13.5">
      <c r="A174" t="s">
        <v>10</v>
      </c>
      <c r="B174" t="s">
        <v>11</v>
      </c>
      <c r="D174" s="26"/>
      <c r="E174" s="8"/>
      <c r="F174" t="s">
        <v>68</v>
      </c>
      <c r="G174" t="s">
        <v>12</v>
      </c>
      <c r="H174" s="26"/>
      <c r="I174" t="s">
        <v>68</v>
      </c>
    </row>
    <row r="175" spans="4:9" ht="13.5">
      <c r="D175" s="27"/>
      <c r="E175" s="4"/>
      <c r="F175" t="s">
        <v>68</v>
      </c>
      <c r="H175" s="26"/>
      <c r="I175" t="s">
        <v>68</v>
      </c>
    </row>
    <row r="176" spans="2:9" ht="13.5">
      <c r="B176" t="s">
        <v>13</v>
      </c>
      <c r="D176" s="28" t="e">
        <f>AVERAGE(D174:D175)</f>
        <v>#DIV/0!</v>
      </c>
      <c r="E176" s="9"/>
      <c r="F176" t="s">
        <v>68</v>
      </c>
      <c r="H176" s="26"/>
      <c r="I176" t="s">
        <v>68</v>
      </c>
    </row>
    <row r="177" spans="8:9" ht="13.5">
      <c r="H177" s="26"/>
      <c r="I177" t="s">
        <v>68</v>
      </c>
    </row>
    <row r="178" spans="7:9" ht="13.5">
      <c r="G178" t="s">
        <v>13</v>
      </c>
      <c r="H178" s="28" t="e">
        <f>AVERAGE(H174:H177)</f>
        <v>#DIV/0!</v>
      </c>
      <c r="I178" t="s">
        <v>68</v>
      </c>
    </row>
    <row r="181" spans="1:8" ht="13.5">
      <c r="A181">
        <v>297.9146048802904</v>
      </c>
      <c r="B181">
        <v>7.519057544413954E-05</v>
      </c>
      <c r="D181">
        <v>7.50061910908888E-05</v>
      </c>
      <c r="F181">
        <v>1.4427443214665863</v>
      </c>
      <c r="G181">
        <v>36.87066550020419</v>
      </c>
      <c r="H181">
        <v>4355.693010127673</v>
      </c>
    </row>
  </sheetData>
  <sheetProtection/>
  <mergeCells count="44">
    <mergeCell ref="B58:C58"/>
    <mergeCell ref="E58:F58"/>
    <mergeCell ref="B59:C59"/>
    <mergeCell ref="B60:C60"/>
    <mergeCell ref="B53:C53"/>
    <mergeCell ref="D53:E53"/>
    <mergeCell ref="B56:C56"/>
    <mergeCell ref="E56:F56"/>
    <mergeCell ref="B57:C57"/>
    <mergeCell ref="E57:F57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Q42:T42"/>
    <mergeCell ref="B44:C44"/>
    <mergeCell ref="D44:E44"/>
    <mergeCell ref="B45:C45"/>
    <mergeCell ref="D45:E45"/>
    <mergeCell ref="B46:C46"/>
    <mergeCell ref="D46:E46"/>
    <mergeCell ref="E41:G41"/>
    <mergeCell ref="N41:P41"/>
    <mergeCell ref="A42:A43"/>
    <mergeCell ref="B42:C43"/>
    <mergeCell ref="D42:E43"/>
    <mergeCell ref="F42:I42"/>
    <mergeCell ref="J42:M42"/>
    <mergeCell ref="N42:P42"/>
    <mergeCell ref="A1:C1"/>
    <mergeCell ref="D1:F1"/>
    <mergeCell ref="G1:I1"/>
    <mergeCell ref="J1:L1"/>
    <mergeCell ref="M1:O1"/>
    <mergeCell ref="A2:C2"/>
    <mergeCell ref="D2:N2"/>
  </mergeCells>
  <printOptions horizontalCentered="1"/>
  <pageMargins left="0.3937007874015748" right="0.2362204724409449" top="1.1811023622047245" bottom="0.31496062992125984" header="0.9448818897637796" footer="0.2755905511811024"/>
  <pageSetup horizontalDpi="600" verticalDpi="600" orientation="landscape" paperSize="9" scale="110" r:id="rId2"/>
  <headerFooter alignWithMargins="0">
    <oddHeader>&amp;L&amp;D&amp;R&amp;F&amp;A</oddHeader>
  </headerFooter>
  <rowBreaks count="1" manualBreakCount="1">
    <brk id="34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AN181"/>
  <sheetViews>
    <sheetView view="pageBreakPreview" zoomScaleNormal="9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3" width="5.625" style="0" customWidth="1"/>
    <col min="4" max="4" width="7.75390625" style="0" customWidth="1"/>
    <col min="5" max="22" width="5.625" style="0" customWidth="1"/>
  </cols>
  <sheetData>
    <row r="1" spans="1:16" ht="13.5">
      <c r="A1" s="148" t="s">
        <v>40</v>
      </c>
      <c r="B1" s="148"/>
      <c r="C1" s="148"/>
      <c r="D1" s="149">
        <v>38783</v>
      </c>
      <c r="E1" s="150"/>
      <c r="F1" s="151"/>
      <c r="G1" s="148" t="s">
        <v>44</v>
      </c>
      <c r="H1" s="148"/>
      <c r="I1" s="148"/>
      <c r="J1" s="149">
        <v>38710</v>
      </c>
      <c r="K1" s="150"/>
      <c r="L1" s="151"/>
      <c r="M1" s="152" t="s">
        <v>61</v>
      </c>
      <c r="N1" s="153"/>
      <c r="O1" s="154"/>
      <c r="P1" s="65">
        <v>-13.3</v>
      </c>
    </row>
    <row r="2" spans="1:14" ht="18" customHeight="1">
      <c r="A2" s="155" t="s">
        <v>35</v>
      </c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7"/>
    </row>
    <row r="3" spans="1:19" ht="36" customHeight="1">
      <c r="A3" s="1" t="s">
        <v>64</v>
      </c>
      <c r="B3" s="97" t="s">
        <v>65</v>
      </c>
      <c r="C3" s="97" t="s">
        <v>36</v>
      </c>
      <c r="D3" s="97" t="s">
        <v>66</v>
      </c>
      <c r="E3" s="99" t="s">
        <v>46</v>
      </c>
      <c r="F3" s="101" t="s">
        <v>1</v>
      </c>
      <c r="G3" s="29"/>
      <c r="H3" s="29"/>
      <c r="Q3" s="94"/>
      <c r="R3" s="94"/>
      <c r="S3" s="94"/>
    </row>
    <row r="4" spans="1:8" ht="13.5">
      <c r="A4" s="63">
        <v>1</v>
      </c>
      <c r="B4" s="95">
        <v>50</v>
      </c>
      <c r="C4" s="92">
        <v>25.4</v>
      </c>
      <c r="D4" s="98">
        <f aca="true" t="shared" si="0" ref="D4:D17">IF(B4="",D3,IF(B4&gt;(B4-$B$32)*(1+$F$32),(B4-$B$32)*(1+$F$32),B4))</f>
        <v>43.26</v>
      </c>
      <c r="E4" s="100">
        <f aca="true" t="shared" si="1" ref="E4:E17">IF(B4="",E3,D4*10^-3/((C4+$P$1)*10^-6))</f>
        <v>3575.2066115702487</v>
      </c>
      <c r="F4" s="102">
        <f>IF(B4="","",C4*10^-6)</f>
        <v>2.5399999999999997E-05</v>
      </c>
      <c r="G4" s="29"/>
      <c r="H4" s="29"/>
    </row>
    <row r="5" spans="1:8" ht="13.5">
      <c r="A5" s="64">
        <v>2</v>
      </c>
      <c r="B5" s="96">
        <v>100</v>
      </c>
      <c r="C5" s="93">
        <v>37.7</v>
      </c>
      <c r="D5" s="98">
        <f t="shared" si="0"/>
        <v>94.76</v>
      </c>
      <c r="E5" s="100">
        <f t="shared" si="1"/>
        <v>3883.6065573770497</v>
      </c>
      <c r="F5" s="102">
        <f aca="true" t="shared" si="2" ref="F5:F28">IF(B5="","",C5*10^-6)</f>
        <v>3.77E-05</v>
      </c>
      <c r="G5" s="29"/>
      <c r="H5" s="29"/>
    </row>
    <row r="6" spans="1:8" ht="13.5">
      <c r="A6" s="64">
        <v>3</v>
      </c>
      <c r="B6" s="96">
        <v>150</v>
      </c>
      <c r="C6" s="93">
        <v>50</v>
      </c>
      <c r="D6" s="98">
        <f t="shared" si="0"/>
        <v>146.26</v>
      </c>
      <c r="E6" s="100">
        <f t="shared" si="1"/>
        <v>3985.286103542234</v>
      </c>
      <c r="F6" s="102">
        <f t="shared" si="2"/>
        <v>4.9999999999999996E-05</v>
      </c>
      <c r="G6" s="29"/>
      <c r="H6" s="29"/>
    </row>
    <row r="7" spans="1:8" ht="13.5">
      <c r="A7" s="64">
        <v>4</v>
      </c>
      <c r="B7" s="96">
        <v>200</v>
      </c>
      <c r="C7" s="93">
        <v>61.8</v>
      </c>
      <c r="D7" s="98">
        <f t="shared" si="0"/>
        <v>197.76</v>
      </c>
      <c r="E7" s="100">
        <f t="shared" si="1"/>
        <v>4077.525773195876</v>
      </c>
      <c r="F7" s="102">
        <f t="shared" si="2"/>
        <v>6.18E-05</v>
      </c>
      <c r="G7" s="29"/>
      <c r="H7" s="29"/>
    </row>
    <row r="8" spans="1:8" ht="13.5">
      <c r="A8" s="64">
        <v>5</v>
      </c>
      <c r="B8" s="96">
        <v>250</v>
      </c>
      <c r="C8" s="93">
        <v>73.3</v>
      </c>
      <c r="D8" s="98">
        <f t="shared" si="0"/>
        <v>249.26000000000002</v>
      </c>
      <c r="E8" s="100">
        <f t="shared" si="1"/>
        <v>4154.333333333334</v>
      </c>
      <c r="F8" s="102">
        <f t="shared" si="2"/>
        <v>7.329999999999999E-05</v>
      </c>
      <c r="G8" s="29"/>
      <c r="H8" s="29"/>
    </row>
    <row r="9" spans="1:8" ht="13.5">
      <c r="A9" s="64">
        <v>6</v>
      </c>
      <c r="B9" s="96">
        <v>300</v>
      </c>
      <c r="C9" s="93">
        <v>86.4</v>
      </c>
      <c r="D9" s="98">
        <f t="shared" si="0"/>
        <v>300</v>
      </c>
      <c r="E9" s="100">
        <f t="shared" si="1"/>
        <v>4103.967168262654</v>
      </c>
      <c r="F9" s="102">
        <f t="shared" si="2"/>
        <v>8.64E-05</v>
      </c>
      <c r="G9" s="29"/>
      <c r="H9" s="29"/>
    </row>
    <row r="10" spans="1:8" ht="13.5">
      <c r="A10" s="64">
        <v>7</v>
      </c>
      <c r="B10" s="96">
        <v>400</v>
      </c>
      <c r="C10" s="93">
        <v>106.3</v>
      </c>
      <c r="D10" s="98">
        <f t="shared" si="0"/>
        <v>400</v>
      </c>
      <c r="E10" s="100">
        <f t="shared" si="1"/>
        <v>4301.075268817204</v>
      </c>
      <c r="F10" s="102">
        <f t="shared" si="2"/>
        <v>0.0001063</v>
      </c>
      <c r="G10" s="29"/>
      <c r="H10" s="29"/>
    </row>
    <row r="11" spans="1:8" ht="13.5">
      <c r="A11" s="64">
        <v>8</v>
      </c>
      <c r="B11" s="96">
        <v>500</v>
      </c>
      <c r="C11" s="93">
        <v>128</v>
      </c>
      <c r="D11" s="98">
        <f t="shared" si="0"/>
        <v>500</v>
      </c>
      <c r="E11" s="100">
        <f t="shared" si="1"/>
        <v>4359.197907585005</v>
      </c>
      <c r="F11" s="102">
        <f t="shared" si="2"/>
        <v>0.000128</v>
      </c>
      <c r="G11" s="29"/>
      <c r="H11" s="29"/>
    </row>
    <row r="12" spans="1:8" ht="13.5">
      <c r="A12" s="64">
        <v>9</v>
      </c>
      <c r="B12" s="96">
        <v>600</v>
      </c>
      <c r="C12" s="93">
        <v>151.7</v>
      </c>
      <c r="D12" s="98">
        <f t="shared" si="0"/>
        <v>600</v>
      </c>
      <c r="E12" s="100">
        <f t="shared" si="1"/>
        <v>4335.260115606937</v>
      </c>
      <c r="F12" s="102">
        <f t="shared" si="2"/>
        <v>0.00015169999999999997</v>
      </c>
      <c r="G12" s="29"/>
      <c r="H12" s="29"/>
    </row>
    <row r="13" spans="1:8" ht="13.5">
      <c r="A13" s="64">
        <v>10</v>
      </c>
      <c r="B13" s="96">
        <v>700</v>
      </c>
      <c r="C13" s="93">
        <v>173.4</v>
      </c>
      <c r="D13" s="98">
        <f t="shared" si="0"/>
        <v>700</v>
      </c>
      <c r="E13" s="100">
        <f t="shared" si="1"/>
        <v>4372.267332916927</v>
      </c>
      <c r="F13" s="102">
        <f t="shared" si="2"/>
        <v>0.00017339999999999999</v>
      </c>
      <c r="G13" s="29"/>
      <c r="H13" s="29"/>
    </row>
    <row r="14" spans="1:8" ht="13.5">
      <c r="A14" s="64">
        <v>11</v>
      </c>
      <c r="B14" s="96">
        <v>800</v>
      </c>
      <c r="C14" s="93">
        <v>195.3</v>
      </c>
      <c r="D14" s="98">
        <f t="shared" si="0"/>
        <v>800</v>
      </c>
      <c r="E14" s="100">
        <f t="shared" si="1"/>
        <v>4395.604395604397</v>
      </c>
      <c r="F14" s="102">
        <f t="shared" si="2"/>
        <v>0.0001953</v>
      </c>
      <c r="G14" s="29"/>
      <c r="H14" s="29"/>
    </row>
    <row r="15" spans="1:8" ht="13.5">
      <c r="A15" s="64">
        <v>12</v>
      </c>
      <c r="B15" s="96">
        <v>900</v>
      </c>
      <c r="C15" s="93">
        <v>219.6</v>
      </c>
      <c r="D15" s="98">
        <f t="shared" si="0"/>
        <v>900</v>
      </c>
      <c r="E15" s="100">
        <f t="shared" si="1"/>
        <v>4362.578768783326</v>
      </c>
      <c r="F15" s="102">
        <f t="shared" si="2"/>
        <v>0.00021959999999999997</v>
      </c>
      <c r="G15" s="29"/>
      <c r="H15" s="29"/>
    </row>
    <row r="16" spans="1:8" ht="13.5">
      <c r="A16" s="64">
        <v>13</v>
      </c>
      <c r="B16" s="96">
        <v>1000</v>
      </c>
      <c r="C16" s="93">
        <v>242.6</v>
      </c>
      <c r="D16" s="98">
        <f t="shared" si="0"/>
        <v>1000</v>
      </c>
      <c r="E16" s="100">
        <f t="shared" si="1"/>
        <v>4361.098996947231</v>
      </c>
      <c r="F16" s="102">
        <f t="shared" si="2"/>
        <v>0.0002426</v>
      </c>
      <c r="G16" s="29"/>
      <c r="H16" s="29"/>
    </row>
    <row r="17" spans="1:8" ht="13.5">
      <c r="A17" s="64">
        <v>14</v>
      </c>
      <c r="B17" s="96"/>
      <c r="C17" s="93"/>
      <c r="D17" s="98">
        <f t="shared" si="0"/>
        <v>1000</v>
      </c>
      <c r="E17" s="100">
        <f t="shared" si="1"/>
        <v>4361.098996947231</v>
      </c>
      <c r="F17" s="102">
        <f t="shared" si="2"/>
      </c>
      <c r="G17" s="29"/>
      <c r="H17" s="29"/>
    </row>
    <row r="18" spans="1:19" ht="13.5" customHeight="1">
      <c r="A18" s="64">
        <v>15</v>
      </c>
      <c r="B18" s="96"/>
      <c r="C18" s="93"/>
      <c r="D18" s="98">
        <f>IF(B18="",D17,IF(B18&gt;(B18-$B$32)*(1+$F$32),(B18-$B$32)*(1+$F$32),B18))</f>
        <v>1000</v>
      </c>
      <c r="E18" s="100">
        <f>IF(B18="",E17,D18*10^-3/((C18+$P$1)*10^-6))</f>
        <v>4361.098996947231</v>
      </c>
      <c r="F18" s="102">
        <f t="shared" si="2"/>
      </c>
      <c r="Q18">
        <v>150</v>
      </c>
      <c r="R18">
        <v>29.1</v>
      </c>
      <c r="S18">
        <f>IF(R18="","",69*10^-3/((R18-13.3)*10^-6))</f>
        <v>4367.088607594937</v>
      </c>
    </row>
    <row r="19" spans="1:6" ht="13.5">
      <c r="A19" s="64">
        <v>16</v>
      </c>
      <c r="B19" s="96"/>
      <c r="C19" s="93"/>
      <c r="D19" s="98">
        <f aca="true" t="shared" si="3" ref="D19:D28">IF(B19="",D18,IF(B19&gt;(B19-$B$32)*(1+$F$32),(B19-$B$32)*(1+$F$32),B19))</f>
        <v>1000</v>
      </c>
      <c r="E19" s="100">
        <f aca="true" t="shared" si="4" ref="E19:E28">IF(B19="",E18,D19*10^-3/((C19+$P$1)*10^-6))</f>
        <v>4361.098996947231</v>
      </c>
      <c r="F19" s="102">
        <f t="shared" si="2"/>
      </c>
    </row>
    <row r="20" spans="1:6" ht="13.5">
      <c r="A20" s="64">
        <v>17</v>
      </c>
      <c r="B20" s="96"/>
      <c r="C20" s="93"/>
      <c r="D20" s="98">
        <f t="shared" si="3"/>
        <v>1000</v>
      </c>
      <c r="E20" s="100">
        <f t="shared" si="4"/>
        <v>4361.098996947231</v>
      </c>
      <c r="F20" s="102">
        <f t="shared" si="2"/>
      </c>
    </row>
    <row r="21" spans="1:6" ht="13.5">
      <c r="A21" s="64">
        <v>18</v>
      </c>
      <c r="B21" s="96"/>
      <c r="C21" s="93"/>
      <c r="D21" s="98">
        <f t="shared" si="3"/>
        <v>1000</v>
      </c>
      <c r="E21" s="100">
        <f t="shared" si="4"/>
        <v>4361.098996947231</v>
      </c>
      <c r="F21" s="102">
        <f t="shared" si="2"/>
      </c>
    </row>
    <row r="22" spans="1:6" ht="13.5">
      <c r="A22" s="64">
        <v>19</v>
      </c>
      <c r="B22" s="96"/>
      <c r="C22" s="93"/>
      <c r="D22" s="98">
        <f t="shared" si="3"/>
        <v>1000</v>
      </c>
      <c r="E22" s="100">
        <f t="shared" si="4"/>
        <v>4361.098996947231</v>
      </c>
      <c r="F22" s="102">
        <f t="shared" si="2"/>
      </c>
    </row>
    <row r="23" spans="1:6" ht="13.5">
      <c r="A23" s="64">
        <v>20</v>
      </c>
      <c r="B23" s="96"/>
      <c r="C23" s="93"/>
      <c r="D23" s="98">
        <f t="shared" si="3"/>
        <v>1000</v>
      </c>
      <c r="E23" s="100">
        <f t="shared" si="4"/>
        <v>4361.098996947231</v>
      </c>
      <c r="F23" s="102">
        <f t="shared" si="2"/>
      </c>
    </row>
    <row r="24" spans="1:6" ht="13.5">
      <c r="A24" s="64">
        <v>21</v>
      </c>
      <c r="B24" s="96"/>
      <c r="C24" s="93"/>
      <c r="D24" s="98">
        <f t="shared" si="3"/>
        <v>1000</v>
      </c>
      <c r="E24" s="100">
        <f t="shared" si="4"/>
        <v>4361.098996947231</v>
      </c>
      <c r="F24" s="102">
        <f t="shared" si="2"/>
      </c>
    </row>
    <row r="25" spans="1:6" ht="13.5">
      <c r="A25" s="64">
        <v>22</v>
      </c>
      <c r="B25" s="96"/>
      <c r="C25" s="93"/>
      <c r="D25" s="98">
        <f t="shared" si="3"/>
        <v>1000</v>
      </c>
      <c r="E25" s="100">
        <f t="shared" si="4"/>
        <v>4361.098996947231</v>
      </c>
      <c r="F25" s="102">
        <f t="shared" si="2"/>
      </c>
    </row>
    <row r="26" spans="1:6" ht="13.5">
      <c r="A26" s="64">
        <v>23</v>
      </c>
      <c r="B26" s="96"/>
      <c r="C26" s="93"/>
      <c r="D26" s="98">
        <f t="shared" si="3"/>
        <v>1000</v>
      </c>
      <c r="E26" s="100">
        <f t="shared" si="4"/>
        <v>4361.098996947231</v>
      </c>
      <c r="F26" s="102">
        <f t="shared" si="2"/>
      </c>
    </row>
    <row r="27" spans="1:24" ht="13.5">
      <c r="A27" s="64">
        <v>24</v>
      </c>
      <c r="B27" s="96"/>
      <c r="C27" s="93"/>
      <c r="D27" s="98">
        <f t="shared" si="3"/>
        <v>1000</v>
      </c>
      <c r="E27" s="100">
        <f t="shared" si="4"/>
        <v>4361.098996947231</v>
      </c>
      <c r="F27" s="102">
        <f t="shared" si="2"/>
      </c>
      <c r="X27" t="s">
        <v>67</v>
      </c>
    </row>
    <row r="28" spans="1:6" ht="13.5">
      <c r="A28" s="64">
        <v>25</v>
      </c>
      <c r="B28" s="96"/>
      <c r="C28" s="93"/>
      <c r="D28" s="98">
        <f t="shared" si="3"/>
        <v>1000</v>
      </c>
      <c r="E28" s="100">
        <f t="shared" si="4"/>
        <v>4361.098996947231</v>
      </c>
      <c r="F28" s="102">
        <f t="shared" si="2"/>
      </c>
    </row>
    <row r="29" spans="1:6" ht="13.5">
      <c r="A29" s="1"/>
      <c r="B29" s="91" t="s">
        <v>87</v>
      </c>
      <c r="C29" s="91"/>
      <c r="D29" s="91"/>
      <c r="E29" s="97"/>
      <c r="F29" s="102"/>
    </row>
    <row r="30" spans="1:6" ht="13.5">
      <c r="A30" s="1" t="s">
        <v>88</v>
      </c>
      <c r="B30" s="138">
        <f>COUNT(B4:B28)</f>
        <v>13</v>
      </c>
      <c r="C30" s="91"/>
      <c r="D30" s="91"/>
      <c r="E30" s="97"/>
      <c r="F30" s="102"/>
    </row>
    <row r="31" spans="1:6" ht="13.5">
      <c r="A31" s="1"/>
      <c r="B31" s="91"/>
      <c r="C31" s="91"/>
      <c r="D31" s="91"/>
      <c r="E31" s="97"/>
      <c r="F31" s="102"/>
    </row>
    <row r="32" spans="1:12" s="103" customFormat="1" ht="13.5" customHeight="1">
      <c r="A32" s="108" t="s">
        <v>2</v>
      </c>
      <c r="B32" s="109">
        <v>8</v>
      </c>
      <c r="C32" s="110" t="s">
        <v>68</v>
      </c>
      <c r="D32" s="104"/>
      <c r="E32" s="104" t="s">
        <v>69</v>
      </c>
      <c r="F32" s="109">
        <v>0.03</v>
      </c>
      <c r="H32" s="103" t="s">
        <v>27</v>
      </c>
      <c r="K32" s="109">
        <v>8</v>
      </c>
      <c r="L32" s="111" t="s">
        <v>14</v>
      </c>
    </row>
    <row r="33" spans="1:22" s="103" customFormat="1" ht="13.5" customHeight="1" thickBot="1">
      <c r="A33" s="103" t="s">
        <v>70</v>
      </c>
      <c r="D33" s="111"/>
      <c r="E33" s="111"/>
      <c r="F33" s="111"/>
      <c r="G33" s="111"/>
      <c r="H33" s="111"/>
      <c r="I33" s="111"/>
      <c r="S33" s="112" t="s">
        <v>9</v>
      </c>
      <c r="T33" s="113" t="s">
        <v>73</v>
      </c>
      <c r="U33" s="114">
        <v>4793.0788169706875</v>
      </c>
      <c r="V33" s="115" t="s">
        <v>6</v>
      </c>
    </row>
    <row r="34" spans="1:9" s="115" customFormat="1" ht="13.5" customHeight="1" thickBot="1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21" s="103" customFormat="1" ht="13.5" customHeight="1">
      <c r="A35" s="104"/>
      <c r="B35" s="104"/>
      <c r="C35" s="104"/>
      <c r="D35" s="104"/>
      <c r="E35" s="104"/>
      <c r="F35" s="104"/>
      <c r="J35" s="135"/>
      <c r="K35" s="105" t="s">
        <v>89</v>
      </c>
      <c r="L35" s="106"/>
      <c r="M35" s="106"/>
      <c r="N35" s="106"/>
      <c r="O35" s="107"/>
      <c r="P35" s="106"/>
      <c r="Q35" s="106"/>
      <c r="R35" s="66" t="s">
        <v>74</v>
      </c>
      <c r="S35" s="146">
        <f>S36*(B59+B60*P36)/P36</f>
        <v>43.569255356265465</v>
      </c>
      <c r="T35" s="122" t="s">
        <v>75</v>
      </c>
      <c r="U35" s="121"/>
    </row>
    <row r="36" spans="4:22" s="103" customFormat="1" ht="13.5" customHeight="1">
      <c r="D36" s="104"/>
      <c r="E36" s="104"/>
      <c r="F36" s="104"/>
      <c r="G36" s="111"/>
      <c r="H36" s="111"/>
      <c r="I36" s="111"/>
      <c r="J36" s="133"/>
      <c r="K36" s="105" t="s">
        <v>39</v>
      </c>
      <c r="N36" s="106" t="s">
        <v>76</v>
      </c>
      <c r="P36" s="89">
        <f>$D$1-$J$1</f>
        <v>73</v>
      </c>
      <c r="Q36" s="106" t="s">
        <v>43</v>
      </c>
      <c r="R36" s="119"/>
      <c r="S36" s="146">
        <f>$E$56*EXP($E$57*$U$33)</f>
        <v>45.74114274095995</v>
      </c>
      <c r="T36" s="105" t="s">
        <v>75</v>
      </c>
      <c r="U36" s="1"/>
      <c r="V36"/>
    </row>
    <row r="37" spans="4:22" s="103" customFormat="1" ht="13.5" customHeight="1">
      <c r="D37" s="104"/>
      <c r="E37" s="104"/>
      <c r="F37" s="104"/>
      <c r="G37" s="111"/>
      <c r="H37" s="111"/>
      <c r="I37" s="111"/>
      <c r="J37" s="134"/>
      <c r="K37" s="105" t="s">
        <v>86</v>
      </c>
      <c r="L37" s="106"/>
      <c r="M37" s="106"/>
      <c r="N37" s="106" t="s">
        <v>45</v>
      </c>
      <c r="O37" s="107"/>
      <c r="P37" s="109">
        <v>365</v>
      </c>
      <c r="Q37" s="106" t="s">
        <v>43</v>
      </c>
      <c r="R37" s="66" t="s">
        <v>91</v>
      </c>
      <c r="S37" s="146">
        <f>$S$35*$P$37/($B$59+$B$60*$P$37)</f>
        <v>46.90503322599014</v>
      </c>
      <c r="T37" s="123" t="s">
        <v>75</v>
      </c>
      <c r="U37" s="35"/>
      <c r="V37"/>
    </row>
    <row r="38" spans="4:22" s="103" customFormat="1" ht="13.5" customHeight="1">
      <c r="D38" s="104"/>
      <c r="E38" s="104"/>
      <c r="F38" s="104"/>
      <c r="G38" s="111"/>
      <c r="H38" s="111"/>
      <c r="I38" s="111"/>
      <c r="J38" s="136"/>
      <c r="K38" s="126" t="s">
        <v>47</v>
      </c>
      <c r="L38" s="127"/>
      <c r="M38" s="127"/>
      <c r="N38" s="36">
        <v>0</v>
      </c>
      <c r="O38" s="5" t="s">
        <v>85</v>
      </c>
      <c r="P38" s="5"/>
      <c r="Q38" s="5"/>
      <c r="R38" s="5"/>
      <c r="S38" s="5"/>
      <c r="T38" s="5"/>
      <c r="U38" s="128"/>
      <c r="V38"/>
    </row>
    <row r="39" spans="10:22" s="103" customFormat="1" ht="13.5" customHeight="1">
      <c r="J39" s="137"/>
      <c r="K39" s="147" t="s">
        <v>90</v>
      </c>
      <c r="L39" s="129"/>
      <c r="M39" s="129"/>
      <c r="N39" s="129"/>
      <c r="O39" s="129"/>
      <c r="P39" s="129"/>
      <c r="Q39" s="130"/>
      <c r="R39" s="131" t="s">
        <v>84</v>
      </c>
      <c r="S39" s="145">
        <f>IF(N38=0,S35,IF(D62&lt;=40,S35*1.1,S35*(1.5-0.01*D62)))</f>
        <v>43.569255356265465</v>
      </c>
      <c r="T39" s="130" t="s">
        <v>75</v>
      </c>
      <c r="U39" s="132"/>
      <c r="V39"/>
    </row>
    <row r="40" ht="17.25" customHeight="1">
      <c r="A40" t="s">
        <v>32</v>
      </c>
    </row>
    <row r="41" spans="4:17" ht="13.5">
      <c r="D41" s="12" t="s">
        <v>31</v>
      </c>
      <c r="E41" s="158">
        <v>38710</v>
      </c>
      <c r="F41" s="159"/>
      <c r="G41" s="160"/>
      <c r="I41" t="s">
        <v>41</v>
      </c>
      <c r="L41" s="36">
        <f>COUNT(B44:C53)</f>
        <v>6</v>
      </c>
      <c r="M41" t="s">
        <v>42</v>
      </c>
      <c r="N41" s="152" t="s">
        <v>61</v>
      </c>
      <c r="O41" s="153"/>
      <c r="P41" s="154"/>
      <c r="Q41" s="65">
        <v>-13.3</v>
      </c>
    </row>
    <row r="42" spans="1:20" ht="15.75">
      <c r="A42" s="155" t="s">
        <v>64</v>
      </c>
      <c r="B42" s="155" t="s">
        <v>33</v>
      </c>
      <c r="C42" s="155"/>
      <c r="D42" s="155" t="s">
        <v>48</v>
      </c>
      <c r="E42" s="155"/>
      <c r="F42" s="155" t="s">
        <v>37</v>
      </c>
      <c r="G42" s="155"/>
      <c r="H42" s="155"/>
      <c r="I42" s="155"/>
      <c r="J42" s="155" t="s">
        <v>34</v>
      </c>
      <c r="K42" s="155"/>
      <c r="L42" s="155"/>
      <c r="M42" s="155"/>
      <c r="N42" s="161" t="s">
        <v>0</v>
      </c>
      <c r="O42" s="162"/>
      <c r="P42" s="163"/>
      <c r="Q42" s="164" t="s">
        <v>38</v>
      </c>
      <c r="R42" s="164"/>
      <c r="S42" s="164"/>
      <c r="T42" s="164"/>
    </row>
    <row r="43" spans="1:20" ht="13.5">
      <c r="A43" s="155"/>
      <c r="B43" s="155"/>
      <c r="C43" s="155"/>
      <c r="D43" s="155"/>
      <c r="E43" s="155"/>
      <c r="F43" s="17">
        <v>1</v>
      </c>
      <c r="G43" s="18">
        <v>2</v>
      </c>
      <c r="H43" s="18">
        <v>3</v>
      </c>
      <c r="I43" s="19" t="s">
        <v>13</v>
      </c>
      <c r="J43" s="17">
        <v>1</v>
      </c>
      <c r="K43" s="18">
        <v>2</v>
      </c>
      <c r="L43" s="18">
        <v>3</v>
      </c>
      <c r="M43" s="19" t="s">
        <v>13</v>
      </c>
      <c r="N43" s="17">
        <v>1</v>
      </c>
      <c r="O43" s="18">
        <v>2</v>
      </c>
      <c r="P43" s="18">
        <v>3</v>
      </c>
      <c r="Q43" s="17">
        <v>1</v>
      </c>
      <c r="R43" s="18">
        <v>2</v>
      </c>
      <c r="S43" s="18">
        <v>3</v>
      </c>
      <c r="T43" s="19" t="s">
        <v>13</v>
      </c>
    </row>
    <row r="44" spans="1:20" ht="13.5">
      <c r="A44" s="21">
        <v>1</v>
      </c>
      <c r="B44" s="165">
        <v>38713</v>
      </c>
      <c r="C44" s="165"/>
      <c r="D44" s="166">
        <f aca="true" t="shared" si="5" ref="D44:D53">+B44-$E$41</f>
        <v>3</v>
      </c>
      <c r="E44" s="166"/>
      <c r="F44" s="38">
        <v>200.77</v>
      </c>
      <c r="G44" s="39">
        <v>200.765</v>
      </c>
      <c r="H44" s="39">
        <v>200.455</v>
      </c>
      <c r="I44" s="30">
        <f>IF(H44=0,IF(G44=0,F44,AVERAGE(F44,G44)),AVERAGE(F44:H44))</f>
        <v>200.66333333333333</v>
      </c>
      <c r="J44" s="44">
        <v>32.29621166875581</v>
      </c>
      <c r="K44" s="45">
        <v>32.72184065082989</v>
      </c>
      <c r="L44" s="45">
        <v>32.653366176810735</v>
      </c>
      <c r="M44" s="30">
        <f>IF(L44=0,IF(K44=0,J44,AVERAGE(J44,K44)),AVERAGE(J44:L44))</f>
        <v>32.55713949879881</v>
      </c>
      <c r="N44" s="50">
        <v>57.4</v>
      </c>
      <c r="O44" s="51">
        <v>57.7</v>
      </c>
      <c r="P44" s="51">
        <v>57.3</v>
      </c>
      <c r="Q44" s="61">
        <f>IF(F44="","",F44/(N44+$Q$41)*1000)</f>
        <v>4552.607709750568</v>
      </c>
      <c r="R44" s="73">
        <f aca="true" t="shared" si="6" ref="R44:S53">IF(G44="","",G44/(O44+$Q$41)*1000)</f>
        <v>4521.734234234234</v>
      </c>
      <c r="S44" s="62">
        <f t="shared" si="6"/>
        <v>4555.795454545454</v>
      </c>
      <c r="T44" s="68">
        <f>IF(S44=0,IF(R44=0,Q44,AVERAGE(Q44,R44)),AVERAGE(Q44:S44))</f>
        <v>4543.379132843418</v>
      </c>
    </row>
    <row r="45" spans="1:20" ht="13.5">
      <c r="A45" s="22">
        <v>2</v>
      </c>
      <c r="B45" s="177">
        <v>38717</v>
      </c>
      <c r="C45" s="177"/>
      <c r="D45" s="169">
        <f t="shared" si="5"/>
        <v>7</v>
      </c>
      <c r="E45" s="169"/>
      <c r="F45" s="40">
        <v>199.245</v>
      </c>
      <c r="G45" s="41">
        <v>199.11</v>
      </c>
      <c r="H45" s="41">
        <v>198.84</v>
      </c>
      <c r="I45" s="30">
        <f aca="true" t="shared" si="7" ref="I45:I53">IF(H45=0,IF(G45=0,F45,AVERAGE(F45,G45)),AVERAGE(F45:H45))</f>
        <v>199.06500000000003</v>
      </c>
      <c r="J45" s="46">
        <v>50.43759862528224</v>
      </c>
      <c r="K45" s="47">
        <v>50.22589105050524</v>
      </c>
      <c r="L45" s="47">
        <v>49.63265814794998</v>
      </c>
      <c r="M45" s="30">
        <f aca="true" t="shared" si="8" ref="M45:M53">IF(L45=0,IF(K45=0,J45,AVERAGE(J45,K45)),AVERAGE(J45:L45))</f>
        <v>50.098715941245814</v>
      </c>
      <c r="N45" s="52">
        <v>54</v>
      </c>
      <c r="O45" s="53">
        <v>54.3</v>
      </c>
      <c r="P45" s="53">
        <v>53.6</v>
      </c>
      <c r="Q45" s="14">
        <f aca="true" t="shared" si="9" ref="Q45:Q53">IF(F45="","",F45/(N45+$Q$41)*1000)</f>
        <v>4895.454545454546</v>
      </c>
      <c r="R45" s="74">
        <f t="shared" si="6"/>
        <v>4856.341463414634</v>
      </c>
      <c r="S45" s="15">
        <f t="shared" si="6"/>
        <v>4933.995037220844</v>
      </c>
      <c r="T45" s="69">
        <f aca="true" t="shared" si="10" ref="T45:T53">IF(S45=0,IF(R45=0,Q45,AVERAGE(Q45,R45)),AVERAGE(Q45:S45))</f>
        <v>4895.263682030008</v>
      </c>
    </row>
    <row r="46" spans="1:20" ht="13.5">
      <c r="A46" s="22">
        <v>3</v>
      </c>
      <c r="B46" s="177">
        <v>38727</v>
      </c>
      <c r="C46" s="177"/>
      <c r="D46" s="169">
        <f t="shared" si="5"/>
        <v>17</v>
      </c>
      <c r="E46" s="169"/>
      <c r="F46" s="40">
        <v>251.94</v>
      </c>
      <c r="G46" s="41">
        <v>249.195</v>
      </c>
      <c r="H46" s="41">
        <v>250.575</v>
      </c>
      <c r="I46" s="30">
        <f t="shared" si="7"/>
        <v>250.57000000000002</v>
      </c>
      <c r="J46" s="46">
        <v>52.71102686244607</v>
      </c>
      <c r="K46" s="47">
        <v>54.307254527084226</v>
      </c>
      <c r="L46" s="47">
        <v>52.13239849233158</v>
      </c>
      <c r="M46" s="30">
        <f t="shared" si="8"/>
        <v>53.050226627287294</v>
      </c>
      <c r="N46" s="52">
        <v>64.7</v>
      </c>
      <c r="O46" s="53">
        <v>64.4</v>
      </c>
      <c r="P46" s="53">
        <v>64.6</v>
      </c>
      <c r="Q46" s="86">
        <f t="shared" si="9"/>
        <v>4901.556420233463</v>
      </c>
      <c r="R46" s="75">
        <f t="shared" si="6"/>
        <v>4876.614481409</v>
      </c>
      <c r="S46" s="76">
        <f t="shared" si="6"/>
        <v>4884.502923976608</v>
      </c>
      <c r="T46" s="70">
        <f t="shared" si="10"/>
        <v>4887.557941873024</v>
      </c>
    </row>
    <row r="47" spans="1:20" ht="13.5">
      <c r="A47" s="22">
        <v>4</v>
      </c>
      <c r="B47" s="167">
        <v>38737</v>
      </c>
      <c r="C47" s="170"/>
      <c r="D47" s="169">
        <f t="shared" si="5"/>
        <v>27</v>
      </c>
      <c r="E47" s="169"/>
      <c r="F47" s="40">
        <v>249.42</v>
      </c>
      <c r="G47" s="41">
        <v>250.59</v>
      </c>
      <c r="H47" s="41">
        <v>249.25</v>
      </c>
      <c r="I47" s="30">
        <f t="shared" si="7"/>
        <v>249.75333333333333</v>
      </c>
      <c r="J47" s="46">
        <v>57.19275269089147</v>
      </c>
      <c r="K47" s="47">
        <v>56.32613002772546</v>
      </c>
      <c r="L47" s="47">
        <v>58.84797554984352</v>
      </c>
      <c r="M47" s="30">
        <f t="shared" si="8"/>
        <v>57.45561942282015</v>
      </c>
      <c r="N47" s="52">
        <v>64.1</v>
      </c>
      <c r="O47" s="53">
        <v>63.9</v>
      </c>
      <c r="P47" s="53">
        <v>64.1</v>
      </c>
      <c r="Q47" s="87">
        <f t="shared" si="9"/>
        <v>4909.842519685039</v>
      </c>
      <c r="R47" s="77">
        <f t="shared" si="6"/>
        <v>4952.371541501977</v>
      </c>
      <c r="S47" s="78">
        <f t="shared" si="6"/>
        <v>4906.496062992126</v>
      </c>
      <c r="T47" s="71">
        <f t="shared" si="10"/>
        <v>4922.903374726381</v>
      </c>
    </row>
    <row r="48" spans="1:20" ht="13.5">
      <c r="A48" s="22">
        <v>5</v>
      </c>
      <c r="B48" s="167">
        <v>38800</v>
      </c>
      <c r="C48" s="170"/>
      <c r="D48" s="169">
        <f t="shared" si="5"/>
        <v>90</v>
      </c>
      <c r="E48" s="169"/>
      <c r="F48" s="40">
        <v>249.305</v>
      </c>
      <c r="G48" s="41">
        <v>249.715</v>
      </c>
      <c r="H48" s="41">
        <v>248.64</v>
      </c>
      <c r="I48" s="30">
        <f t="shared" si="7"/>
        <v>249.22</v>
      </c>
      <c r="J48" s="46">
        <v>62.39433521123871</v>
      </c>
      <c r="K48" s="47">
        <v>59.57200452593671</v>
      </c>
      <c r="L48" s="47">
        <v>62.067657434500184</v>
      </c>
      <c r="M48" s="30">
        <f t="shared" si="8"/>
        <v>61.344665723891865</v>
      </c>
      <c r="N48" s="52">
        <v>63.8</v>
      </c>
      <c r="O48" s="53">
        <v>62.8</v>
      </c>
      <c r="P48" s="53">
        <v>62.7</v>
      </c>
      <c r="Q48" s="88">
        <f t="shared" si="9"/>
        <v>4936.732673267326</v>
      </c>
      <c r="R48" s="15">
        <f t="shared" si="6"/>
        <v>5044.747474747475</v>
      </c>
      <c r="S48" s="74">
        <f t="shared" si="6"/>
        <v>5033.198380566801</v>
      </c>
      <c r="T48" s="69">
        <f t="shared" si="10"/>
        <v>5004.892842860534</v>
      </c>
    </row>
    <row r="49" spans="1:20" ht="13.5">
      <c r="A49" s="22">
        <v>6</v>
      </c>
      <c r="B49" s="167">
        <v>38905</v>
      </c>
      <c r="C49" s="170"/>
      <c r="D49" s="169">
        <f t="shared" si="5"/>
        <v>195</v>
      </c>
      <c r="E49" s="169"/>
      <c r="F49" s="40">
        <v>200.295</v>
      </c>
      <c r="G49" s="41">
        <v>200.545</v>
      </c>
      <c r="H49" s="41">
        <v>200.785</v>
      </c>
      <c r="I49" s="30">
        <f t="shared" si="7"/>
        <v>200.54166666666666</v>
      </c>
      <c r="J49" s="46">
        <v>59.607592699070715</v>
      </c>
      <c r="K49" s="47">
        <v>60.75751855948249</v>
      </c>
      <c r="L49" s="47">
        <v>58.9989617796359</v>
      </c>
      <c r="M49" s="30">
        <f t="shared" si="8"/>
        <v>59.78802434606303</v>
      </c>
      <c r="N49" s="52">
        <v>53.2</v>
      </c>
      <c r="O49" s="53">
        <v>53.2</v>
      </c>
      <c r="P49" s="53">
        <v>53.4</v>
      </c>
      <c r="Q49" s="81">
        <f t="shared" si="9"/>
        <v>5019.924812030074</v>
      </c>
      <c r="R49" s="79">
        <f t="shared" si="6"/>
        <v>5026.190476190475</v>
      </c>
      <c r="S49" s="80">
        <f t="shared" si="6"/>
        <v>5007.1072319202</v>
      </c>
      <c r="T49" s="69">
        <f t="shared" si="10"/>
        <v>5017.740840046917</v>
      </c>
    </row>
    <row r="50" spans="1:20" ht="13.5">
      <c r="A50" s="22">
        <v>7</v>
      </c>
      <c r="B50" s="167"/>
      <c r="C50" s="170"/>
      <c r="D50" s="169">
        <f t="shared" si="5"/>
        <v>-38710</v>
      </c>
      <c r="E50" s="169"/>
      <c r="F50" s="40"/>
      <c r="G50" s="41"/>
      <c r="H50" s="41"/>
      <c r="I50" s="30">
        <f t="shared" si="7"/>
        <v>0</v>
      </c>
      <c r="J50" s="46"/>
      <c r="K50" s="47"/>
      <c r="L50" s="47"/>
      <c r="M50" s="30">
        <f t="shared" si="8"/>
        <v>0</v>
      </c>
      <c r="N50" s="52"/>
      <c r="O50" s="53"/>
      <c r="P50" s="53"/>
      <c r="Q50" s="81">
        <f t="shared" si="9"/>
      </c>
      <c r="R50" s="79">
        <f t="shared" si="6"/>
      </c>
      <c r="S50" s="80">
        <f t="shared" si="6"/>
      </c>
      <c r="T50" s="69" t="e">
        <f t="shared" si="10"/>
        <v>#DIV/0!</v>
      </c>
    </row>
    <row r="51" spans="1:20" ht="13.5">
      <c r="A51" s="22">
        <v>8</v>
      </c>
      <c r="B51" s="171"/>
      <c r="C51" s="170"/>
      <c r="D51" s="169">
        <f t="shared" si="5"/>
        <v>-38710</v>
      </c>
      <c r="E51" s="169"/>
      <c r="F51" s="40"/>
      <c r="G51" s="41"/>
      <c r="H51" s="41"/>
      <c r="I51" s="30">
        <f t="shared" si="7"/>
        <v>0</v>
      </c>
      <c r="J51" s="46"/>
      <c r="K51" s="47"/>
      <c r="L51" s="47"/>
      <c r="M51" s="30">
        <f t="shared" si="8"/>
        <v>0</v>
      </c>
      <c r="N51" s="52"/>
      <c r="O51" s="53"/>
      <c r="P51" s="84"/>
      <c r="Q51" s="81">
        <f t="shared" si="9"/>
      </c>
      <c r="R51" s="79">
        <f t="shared" si="6"/>
      </c>
      <c r="S51" s="80">
        <f t="shared" si="6"/>
      </c>
      <c r="T51" s="69" t="e">
        <f t="shared" si="10"/>
        <v>#DIV/0!</v>
      </c>
    </row>
    <row r="52" spans="1:20" ht="13.5">
      <c r="A52" s="22">
        <v>9</v>
      </c>
      <c r="B52" s="171"/>
      <c r="C52" s="170"/>
      <c r="D52" s="169">
        <f t="shared" si="5"/>
        <v>-38710</v>
      </c>
      <c r="E52" s="169"/>
      <c r="F52" s="40"/>
      <c r="G52" s="41"/>
      <c r="H52" s="41"/>
      <c r="I52" s="30">
        <f t="shared" si="7"/>
        <v>0</v>
      </c>
      <c r="J52" s="46"/>
      <c r="K52" s="47"/>
      <c r="L52" s="47"/>
      <c r="M52" s="30">
        <f t="shared" si="8"/>
        <v>0</v>
      </c>
      <c r="N52" s="52"/>
      <c r="O52" s="53"/>
      <c r="P52" s="84"/>
      <c r="Q52" s="81">
        <f t="shared" si="9"/>
      </c>
      <c r="R52" s="79">
        <f t="shared" si="6"/>
      </c>
      <c r="S52" s="15">
        <f t="shared" si="6"/>
      </c>
      <c r="T52" s="69" t="e">
        <f t="shared" si="10"/>
        <v>#DIV/0!</v>
      </c>
    </row>
    <row r="53" spans="1:20" ht="13.5">
      <c r="A53" s="23">
        <v>10</v>
      </c>
      <c r="B53" s="174"/>
      <c r="C53" s="175"/>
      <c r="D53" s="176">
        <f t="shared" si="5"/>
        <v>-38710</v>
      </c>
      <c r="E53" s="176"/>
      <c r="F53" s="42"/>
      <c r="G53" s="43"/>
      <c r="H53" s="43"/>
      <c r="I53" s="31">
        <f t="shared" si="7"/>
        <v>0</v>
      </c>
      <c r="J53" s="48"/>
      <c r="K53" s="49"/>
      <c r="L53" s="49"/>
      <c r="M53" s="31">
        <f t="shared" si="8"/>
        <v>0</v>
      </c>
      <c r="N53" s="54"/>
      <c r="O53" s="55"/>
      <c r="P53" s="85"/>
      <c r="Q53" s="16">
        <f t="shared" si="9"/>
      </c>
      <c r="R53" s="82">
        <f t="shared" si="6"/>
      </c>
      <c r="S53" s="83">
        <f t="shared" si="6"/>
      </c>
      <c r="T53" s="72" t="e">
        <f t="shared" si="10"/>
        <v>#DIV/0!</v>
      </c>
    </row>
    <row r="54" spans="2:4" ht="13.5" customHeight="1">
      <c r="B54" s="32"/>
      <c r="C54" s="32"/>
      <c r="D54" s="32"/>
    </row>
    <row r="55" spans="1:4" ht="13.5">
      <c r="A55" t="s">
        <v>29</v>
      </c>
      <c r="D55" t="s">
        <v>30</v>
      </c>
    </row>
    <row r="56" spans="1:6" ht="13.5">
      <c r="A56" s="13" t="s">
        <v>77</v>
      </c>
      <c r="B56" s="172">
        <v>26.526159637505724</v>
      </c>
      <c r="C56" s="172"/>
      <c r="D56" s="13" t="s">
        <v>78</v>
      </c>
      <c r="E56" s="172">
        <v>0.07374527260537224</v>
      </c>
      <c r="F56" s="172"/>
    </row>
    <row r="57" spans="1:6" ht="13.5">
      <c r="A57" s="13" t="s">
        <v>79</v>
      </c>
      <c r="B57" s="172">
        <v>61.98460767411928</v>
      </c>
      <c r="C57" s="172"/>
      <c r="D57" s="13" t="s">
        <v>80</v>
      </c>
      <c r="E57" s="172">
        <v>0.0013415461759159445</v>
      </c>
      <c r="F57" s="172"/>
    </row>
    <row r="58" spans="1:17" ht="13.5" customHeight="1">
      <c r="A58" s="33" t="s">
        <v>81</v>
      </c>
      <c r="B58" s="172">
        <v>0.9148152107917331</v>
      </c>
      <c r="C58" s="172"/>
      <c r="D58" s="33" t="s">
        <v>81</v>
      </c>
      <c r="E58" s="172">
        <v>0.9841139130330501</v>
      </c>
      <c r="F58" s="17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33" t="s">
        <v>82</v>
      </c>
      <c r="B59" s="173">
        <f>D62/B56</f>
        <v>2.1567443556868904</v>
      </c>
      <c r="C59" s="173"/>
      <c r="I59" s="24"/>
      <c r="J59" s="2"/>
      <c r="K59" s="2"/>
      <c r="L59" s="2"/>
      <c r="M59" s="2"/>
      <c r="N59" s="2"/>
      <c r="O59" s="2"/>
      <c r="P59" s="2"/>
      <c r="Q59" s="2"/>
    </row>
    <row r="60" spans="1:17" ht="13.5">
      <c r="A60" s="33" t="s">
        <v>83</v>
      </c>
      <c r="B60" s="173">
        <f>D62/B57</f>
        <v>0.9229734158683253</v>
      </c>
      <c r="C60" s="173"/>
      <c r="I60" s="2"/>
      <c r="J60" s="2"/>
      <c r="K60" s="2"/>
      <c r="L60" s="2"/>
      <c r="M60" s="2"/>
      <c r="N60" s="2"/>
      <c r="O60" s="2"/>
      <c r="P60" s="2"/>
      <c r="Q60" s="2"/>
    </row>
    <row r="61" spans="9:17" ht="13.5">
      <c r="I61" s="2"/>
      <c r="J61" s="25"/>
      <c r="K61" s="2"/>
      <c r="L61" s="20"/>
      <c r="M61" s="20"/>
      <c r="N61" s="2"/>
      <c r="O61" s="2"/>
      <c r="P61" s="2"/>
      <c r="Q61" s="2"/>
    </row>
    <row r="62" spans="3:5" ht="13.5" customHeight="1">
      <c r="C62" s="32" t="s">
        <v>84</v>
      </c>
      <c r="D62" s="120">
        <f>28/(1/B56+28/B57)</f>
        <v>57.21014507623988</v>
      </c>
      <c r="E62" t="s">
        <v>75</v>
      </c>
    </row>
    <row r="63" spans="3:17" ht="13.5">
      <c r="C63" s="67"/>
      <c r="D63" s="67"/>
      <c r="E63" s="67"/>
      <c r="F63" s="67"/>
      <c r="G63" s="67"/>
      <c r="H63" s="67"/>
      <c r="I63" s="67"/>
      <c r="J63" s="67"/>
      <c r="K63" s="67"/>
      <c r="L63" s="2"/>
      <c r="M63" s="2"/>
      <c r="N63" s="2"/>
      <c r="O63" s="2"/>
      <c r="P63" s="2"/>
      <c r="Q63" s="2"/>
    </row>
    <row r="64" spans="12:17" ht="13.5">
      <c r="L64" s="2"/>
      <c r="M64" s="2"/>
      <c r="N64" s="2"/>
      <c r="O64" s="2"/>
      <c r="P64" s="2"/>
      <c r="Q64" s="2"/>
    </row>
    <row r="65" spans="12:17" ht="13.5">
      <c r="L65" s="2"/>
      <c r="M65" s="2"/>
      <c r="N65" s="2"/>
      <c r="O65" s="2"/>
      <c r="P65" s="2"/>
      <c r="Q65" s="2"/>
    </row>
    <row r="66" spans="12:17" ht="13.5">
      <c r="L66" s="2"/>
      <c r="M66" s="2"/>
      <c r="N66" s="2"/>
      <c r="O66" s="2"/>
      <c r="P66" s="2"/>
      <c r="Q66" s="2"/>
    </row>
    <row r="67" spans="9:17" ht="13.5">
      <c r="I67" s="2"/>
      <c r="J67" s="2"/>
      <c r="K67" s="2"/>
      <c r="L67" s="2"/>
      <c r="M67" s="2"/>
      <c r="N67" s="2"/>
      <c r="O67" s="2"/>
      <c r="P67" s="2"/>
      <c r="Q67" s="2"/>
    </row>
    <row r="68" spans="9:17" ht="14.25" customHeight="1">
      <c r="I68" s="2"/>
      <c r="J68" s="2"/>
      <c r="K68" s="2"/>
      <c r="L68" s="2"/>
      <c r="M68" s="2"/>
      <c r="N68" s="2"/>
      <c r="O68" s="2"/>
      <c r="P68" s="2"/>
      <c r="Q68" s="2"/>
    </row>
    <row r="69" spans="9:17" ht="14.25" customHeight="1"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/>
    <row r="71" spans="10:14" ht="14.25" customHeight="1">
      <c r="J71" t="s">
        <v>9</v>
      </c>
      <c r="K71" t="s">
        <v>62</v>
      </c>
      <c r="M71" t="s">
        <v>9</v>
      </c>
      <c r="N71" t="s">
        <v>63</v>
      </c>
    </row>
    <row r="72" spans="10:14" ht="14.25" customHeight="1">
      <c r="J72">
        <v>2000</v>
      </c>
      <c r="K72">
        <f aca="true" t="shared" si="11" ref="K72:K91">E$56*EXP(E$57*J72)</f>
        <v>1.0789129060665854</v>
      </c>
      <c r="M72" s="124">
        <f>U33</f>
        <v>4793.0788169706875</v>
      </c>
      <c r="N72" s="125">
        <v>0</v>
      </c>
    </row>
    <row r="73" spans="10:14" ht="14.25" customHeight="1">
      <c r="J73">
        <v>2500</v>
      </c>
      <c r="K73">
        <f t="shared" si="11"/>
        <v>2.1100825157355807</v>
      </c>
      <c r="M73" s="124">
        <f>U33</f>
        <v>4793.0788169706875</v>
      </c>
      <c r="N73" s="125">
        <v>80</v>
      </c>
    </row>
    <row r="74" spans="10:14" ht="13.5">
      <c r="J74">
        <v>3000</v>
      </c>
      <c r="K74">
        <f t="shared" si="11"/>
        <v>4.126791141506848</v>
      </c>
      <c r="N74" s="125"/>
    </row>
    <row r="75" spans="10:14" ht="13.5">
      <c r="J75">
        <v>3500</v>
      </c>
      <c r="K75">
        <f t="shared" si="11"/>
        <v>8.070966418904497</v>
      </c>
      <c r="M75">
        <v>0</v>
      </c>
      <c r="N75" s="125">
        <f>S36</f>
        <v>45.74114274095995</v>
      </c>
    </row>
    <row r="76" spans="10:14" ht="13.5">
      <c r="J76">
        <v>4000</v>
      </c>
      <c r="K76">
        <f t="shared" si="11"/>
        <v>15.7847820985917</v>
      </c>
      <c r="M76" s="124">
        <f>U33</f>
        <v>4793.0788169706875</v>
      </c>
      <c r="N76" s="125">
        <f>S36</f>
        <v>45.74114274095995</v>
      </c>
    </row>
    <row r="77" spans="10:11" ht="13.5">
      <c r="J77">
        <v>4100</v>
      </c>
      <c r="K77">
        <f t="shared" si="11"/>
        <v>18.05099729715521</v>
      </c>
    </row>
    <row r="78" spans="10:11" ht="13.5">
      <c r="J78">
        <v>4200</v>
      </c>
      <c r="K78">
        <f t="shared" si="11"/>
        <v>20.64257215504899</v>
      </c>
    </row>
    <row r="79" spans="10:11" ht="13.5">
      <c r="J79">
        <v>4300</v>
      </c>
      <c r="K79">
        <f t="shared" si="11"/>
        <v>23.606218435563033</v>
      </c>
    </row>
    <row r="80" spans="10:11" ht="13.5">
      <c r="J80">
        <v>4400</v>
      </c>
      <c r="K80">
        <f t="shared" si="11"/>
        <v>26.995354292183823</v>
      </c>
    </row>
    <row r="81" spans="10:11" ht="13.5">
      <c r="J81">
        <v>4500</v>
      </c>
      <c r="K81">
        <f t="shared" si="11"/>
        <v>30.871067102499516</v>
      </c>
    </row>
    <row r="82" spans="10:11" ht="13.5">
      <c r="J82">
        <v>4600</v>
      </c>
      <c r="K82">
        <f t="shared" si="11"/>
        <v>35.30321453580496</v>
      </c>
    </row>
    <row r="83" spans="10:11" ht="13.5">
      <c r="J83">
        <v>4700</v>
      </c>
      <c r="K83">
        <f t="shared" si="11"/>
        <v>40.371683700566344</v>
      </c>
    </row>
    <row r="84" spans="10:11" ht="13.5">
      <c r="J84">
        <v>4800</v>
      </c>
      <c r="K84">
        <f t="shared" si="11"/>
        <v>46.167831067211644</v>
      </c>
    </row>
    <row r="85" spans="10:11" ht="13.5">
      <c r="J85">
        <v>4900</v>
      </c>
      <c r="K85">
        <f t="shared" si="11"/>
        <v>52.79612912009148</v>
      </c>
    </row>
    <row r="86" spans="10:11" ht="13.5">
      <c r="J86">
        <v>5000</v>
      </c>
      <c r="K86">
        <f t="shared" si="11"/>
        <v>60.37604941863951</v>
      </c>
    </row>
    <row r="87" spans="10:11" ht="13.5">
      <c r="J87">
        <v>5100</v>
      </c>
      <c r="K87">
        <f t="shared" si="11"/>
        <v>69.04421600891192</v>
      </c>
    </row>
    <row r="88" spans="10:11" ht="13.5">
      <c r="J88">
        <v>5200</v>
      </c>
      <c r="K88">
        <f t="shared" si="11"/>
        <v>78.95686799960731</v>
      </c>
    </row>
    <row r="89" spans="10:11" ht="13.5">
      <c r="J89">
        <v>5300</v>
      </c>
      <c r="K89">
        <f t="shared" si="11"/>
        <v>90.29267568919508</v>
      </c>
    </row>
    <row r="90" spans="10:11" ht="13.5">
      <c r="J90">
        <v>5400</v>
      </c>
      <c r="K90">
        <f t="shared" si="11"/>
        <v>103.25596100335069</v>
      </c>
    </row>
    <row r="91" spans="10:11" ht="13.5">
      <c r="J91">
        <v>5500</v>
      </c>
      <c r="K91">
        <f t="shared" si="11"/>
        <v>118.0803802893763</v>
      </c>
    </row>
    <row r="96" spans="1:22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3.5">
      <c r="A97" s="56">
        <v>1</v>
      </c>
      <c r="B97" s="56">
        <v>2</v>
      </c>
      <c r="C97" s="56">
        <v>3</v>
      </c>
      <c r="D97" s="56">
        <v>4</v>
      </c>
      <c r="E97" s="56">
        <v>5</v>
      </c>
      <c r="F97" s="56">
        <v>6</v>
      </c>
      <c r="G97" s="56">
        <v>7</v>
      </c>
      <c r="H97" s="56">
        <v>8</v>
      </c>
      <c r="I97" s="56">
        <v>9</v>
      </c>
      <c r="J97" s="56">
        <v>10</v>
      </c>
      <c r="K97" s="56">
        <v>11</v>
      </c>
      <c r="L97" s="56">
        <v>12</v>
      </c>
      <c r="M97" s="56">
        <v>13</v>
      </c>
      <c r="N97" s="56">
        <v>14</v>
      </c>
      <c r="O97" s="56">
        <v>15</v>
      </c>
      <c r="P97" s="56">
        <v>16</v>
      </c>
      <c r="Q97" s="56">
        <v>17</v>
      </c>
      <c r="R97" s="56">
        <v>18</v>
      </c>
      <c r="S97" s="56">
        <v>19</v>
      </c>
      <c r="T97" s="56">
        <v>20</v>
      </c>
      <c r="U97" s="56"/>
      <c r="V97" s="56"/>
    </row>
    <row r="98" spans="1:40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 t="s">
        <v>71</v>
      </c>
      <c r="T100" s="56" t="s">
        <v>72</v>
      </c>
      <c r="U100" s="56"/>
      <c r="V100" s="5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>
        <v>43.259999971836805</v>
      </c>
      <c r="T101">
        <v>3777.8672307168595</v>
      </c>
      <c r="U101" s="56"/>
      <c r="V101" s="5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>
        <v>94.75999993830919</v>
      </c>
      <c r="T102">
        <v>3891.509691713841</v>
      </c>
      <c r="U102" s="56"/>
      <c r="V102" s="56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ht="12.75" customHeight="1">
      <c r="A103" t="s">
        <v>49</v>
      </c>
      <c r="D103">
        <v>4359.197897419528</v>
      </c>
      <c r="E103" t="s">
        <v>50</v>
      </c>
      <c r="H103" s="3">
        <v>8</v>
      </c>
      <c r="L103" s="56"/>
      <c r="M103" s="56"/>
      <c r="N103" s="56"/>
      <c r="O103" s="56"/>
      <c r="P103" s="56"/>
      <c r="Q103" s="56"/>
      <c r="R103" s="56"/>
      <c r="S103">
        <v>146.25999990478158</v>
      </c>
      <c r="T103">
        <v>3976.8782027561524</v>
      </c>
      <c r="U103" s="56"/>
      <c r="V103" s="56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ht="12.75" customHeight="1">
      <c r="A104" t="s">
        <v>51</v>
      </c>
      <c r="D104">
        <v>4364.3346331665325</v>
      </c>
      <c r="E104" t="s">
        <v>52</v>
      </c>
      <c r="L104" s="56"/>
      <c r="M104" s="56"/>
      <c r="N104" s="56"/>
      <c r="O104" s="56"/>
      <c r="P104" s="56"/>
      <c r="Q104" s="56"/>
      <c r="R104" s="56"/>
      <c r="S104">
        <v>197.75999987125397</v>
      </c>
      <c r="T104">
        <v>4048.932921138392</v>
      </c>
      <c r="U104" s="56"/>
      <c r="V104" s="56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ht="12.75" customHeight="1">
      <c r="A105" t="s">
        <v>53</v>
      </c>
      <c r="L105" s="56"/>
      <c r="M105" s="56"/>
      <c r="N105" s="56"/>
      <c r="O105" s="56"/>
      <c r="P105" s="56"/>
      <c r="Q105" s="56"/>
      <c r="R105" s="56"/>
      <c r="S105">
        <v>249.25999983772635</v>
      </c>
      <c r="T105">
        <v>4112.8975368236315</v>
      </c>
      <c r="U105" s="56"/>
      <c r="V105" s="5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ht="12.75" customHeight="1">
      <c r="A106" t="s">
        <v>54</v>
      </c>
      <c r="D106">
        <v>0.03279932079964018</v>
      </c>
      <c r="F106" t="s">
        <v>55</v>
      </c>
      <c r="G106">
        <v>4339.735142566802</v>
      </c>
      <c r="H106" t="s">
        <v>56</v>
      </c>
      <c r="L106" s="56"/>
      <c r="M106" s="56"/>
      <c r="N106" s="56"/>
      <c r="O106" s="56"/>
      <c r="P106" s="56"/>
      <c r="Q106" s="56"/>
      <c r="R106" s="56"/>
      <c r="S106">
        <v>300</v>
      </c>
      <c r="T106">
        <v>4170.48554392451</v>
      </c>
      <c r="U106" s="56"/>
      <c r="V106" s="5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ht="12.75" customHeight="1">
      <c r="A107" t="s">
        <v>57</v>
      </c>
      <c r="C107">
        <v>488.5166013532593</v>
      </c>
      <c r="D107" t="s">
        <v>58</v>
      </c>
      <c r="F107">
        <v>4355.758155290538</v>
      </c>
      <c r="G107" t="s">
        <v>59</v>
      </c>
      <c r="H107">
        <v>112.15420689964238</v>
      </c>
      <c r="I107" t="s">
        <v>60</v>
      </c>
      <c r="L107" s="56"/>
      <c r="M107" s="56"/>
      <c r="N107" s="56"/>
      <c r="O107" s="56"/>
      <c r="P107" s="56"/>
      <c r="Q107" s="56"/>
      <c r="R107" s="56"/>
      <c r="S107">
        <v>400</v>
      </c>
      <c r="T107">
        <v>4273.175143637326</v>
      </c>
      <c r="U107" s="56"/>
      <c r="V107" s="5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2:40" ht="12.75" customHeight="1">
      <c r="L108" s="56"/>
      <c r="M108" s="56"/>
      <c r="N108" s="56"/>
      <c r="O108" s="56"/>
      <c r="P108" s="56"/>
      <c r="Q108" s="56"/>
      <c r="R108" s="56"/>
      <c r="S108">
        <v>488.5166013532593</v>
      </c>
      <c r="T108">
        <v>4355.758155290536</v>
      </c>
      <c r="U108" s="56"/>
      <c r="V108" s="5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ht="12.75" customHeight="1">
      <c r="A109" s="56" t="s">
        <v>25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>
        <v>500</v>
      </c>
      <c r="T109">
        <v>4356.134802966622</v>
      </c>
      <c r="U109" s="56"/>
      <c r="V109" s="5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ht="12.75" customHeight="1">
      <c r="A110" s="56" t="s">
        <v>15</v>
      </c>
      <c r="B110" s="56" t="s">
        <v>16</v>
      </c>
      <c r="C110" s="56"/>
      <c r="D110" s="56" t="s">
        <v>28</v>
      </c>
      <c r="E110" s="56"/>
      <c r="F110" s="56" t="s">
        <v>17</v>
      </c>
      <c r="G110" s="56" t="s">
        <v>18</v>
      </c>
      <c r="H110" s="56" t="s">
        <v>26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>
        <v>600</v>
      </c>
      <c r="T110">
        <v>4359.414735046586</v>
      </c>
      <c r="U110" s="56"/>
      <c r="V110" s="5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2.75" customHeight="1">
      <c r="A111">
        <v>0.2843949999999998</v>
      </c>
      <c r="B111">
        <v>1.4222347999999976</v>
      </c>
      <c r="D111">
        <v>2.6728582468012854</v>
      </c>
      <c r="F111">
        <v>3162.919921875</v>
      </c>
      <c r="G111">
        <v>2.8833573225515923</v>
      </c>
      <c r="H111">
        <v>2.8189485279256924E-12</v>
      </c>
      <c r="J111" s="56"/>
      <c r="K111" s="56"/>
      <c r="L111" s="56"/>
      <c r="M111" s="56"/>
      <c r="N111" s="56"/>
      <c r="O111" s="56"/>
      <c r="P111" s="56"/>
      <c r="Q111" s="56"/>
      <c r="R111" s="56"/>
      <c r="S111">
        <v>700</v>
      </c>
      <c r="T111">
        <v>4362.6946671265505</v>
      </c>
      <c r="U111" s="56"/>
      <c r="V111" s="5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ht="12.75" customHeight="1">
      <c r="A112" s="57" t="s">
        <v>19</v>
      </c>
      <c r="B112" s="57" t="s">
        <v>20</v>
      </c>
      <c r="C112" s="57"/>
      <c r="D112" s="57" t="s">
        <v>21</v>
      </c>
      <c r="E112" s="57"/>
      <c r="F112" s="57" t="s">
        <v>22</v>
      </c>
      <c r="G112" s="57" t="s">
        <v>23</v>
      </c>
      <c r="H112" s="57" t="s">
        <v>24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>
        <v>800</v>
      </c>
      <c r="T112">
        <v>4365.9745992065145</v>
      </c>
      <c r="U112" s="56"/>
      <c r="V112" s="5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ht="12.75" customHeight="1">
      <c r="A113" s="58"/>
      <c r="B113" s="58"/>
      <c r="C113" s="58"/>
      <c r="D113" s="58"/>
      <c r="E113" s="58"/>
      <c r="F113" s="58"/>
      <c r="G113" s="59">
        <v>0</v>
      </c>
      <c r="H113" s="59">
        <v>3516.236220749313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>
        <v>900</v>
      </c>
      <c r="T113">
        <v>4369.254531286479</v>
      </c>
      <c r="U113" s="56"/>
      <c r="V113" s="56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ht="12.75" customHeight="1">
      <c r="A114" s="59">
        <v>43.259999971836805</v>
      </c>
      <c r="B114" s="141">
        <v>1.2099999366910197E-05</v>
      </c>
      <c r="C114" s="139"/>
      <c r="D114" s="141">
        <v>1.181946303597783E-05</v>
      </c>
      <c r="E114" s="139"/>
      <c r="F114" s="60">
        <v>1.211520016671443</v>
      </c>
      <c r="G114" s="59">
        <v>3.9291336413949893</v>
      </c>
      <c r="H114" s="59">
        <v>3831.9407964804395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>
        <v>1000</v>
      </c>
      <c r="T114">
        <v>4372.534463366443</v>
      </c>
      <c r="U114" s="56"/>
      <c r="V114" s="56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ht="12.75" customHeight="1">
      <c r="A115" s="59">
        <v>94.75999993830919</v>
      </c>
      <c r="B115" s="141">
        <v>2.4400000256719068E-05</v>
      </c>
      <c r="C115" s="139"/>
      <c r="D115" s="141">
        <v>2.4779134386476232E-05</v>
      </c>
      <c r="E115" s="139"/>
      <c r="F115" s="60">
        <v>1.294630859268607</v>
      </c>
      <c r="G115" s="59">
        <v>10.34358768691711</v>
      </c>
      <c r="H115" s="59">
        <v>4094.813736254827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U115" s="56"/>
      <c r="V115" s="5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ht="12.75" customHeight="1">
      <c r="A116" s="59">
        <v>146.25999990478158</v>
      </c>
      <c r="B116" s="141">
        <v>3.6699999327538535E-05</v>
      </c>
      <c r="C116" s="139"/>
      <c r="D116" s="141">
        <v>3.709000273637665E-05</v>
      </c>
      <c r="E116" s="139"/>
      <c r="F116" s="60">
        <v>1.3478537351631796</v>
      </c>
      <c r="G116" s="59">
        <v>16.905816574942907</v>
      </c>
      <c r="H116" s="59">
        <v>4263.153430721251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U116" s="56"/>
      <c r="V116" s="56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ht="12.75" customHeight="1">
      <c r="A117" s="59">
        <v>197.75999987125397</v>
      </c>
      <c r="B117" s="141">
        <v>4.8499998229090124E-05</v>
      </c>
      <c r="C117" s="139"/>
      <c r="D117" s="141">
        <v>4.8990086321487376E-05</v>
      </c>
      <c r="E117" s="139"/>
      <c r="F117" s="60">
        <v>1.3872294610695124</v>
      </c>
      <c r="G117" s="59">
        <v>23.509294890206668</v>
      </c>
      <c r="H117" s="59">
        <v>4387.6956986286805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U117" s="56"/>
      <c r="V117" s="56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ht="12.75" customHeight="1">
      <c r="A118" s="59">
        <v>249.25999983772635</v>
      </c>
      <c r="B118" s="141">
        <v>6.000000212225132E-05</v>
      </c>
      <c r="C118" s="139"/>
      <c r="D118" s="141">
        <v>6.059246517183122E-05</v>
      </c>
      <c r="E118" s="139"/>
      <c r="F118" s="60">
        <v>1.4186342862958485</v>
      </c>
      <c r="G118" s="59">
        <v>30.131127065285508</v>
      </c>
      <c r="H118" s="59">
        <v>4487.026645980061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U118" s="56"/>
      <c r="V118" s="56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ht="12.75" customHeight="1">
      <c r="A119" s="59">
        <v>300</v>
      </c>
      <c r="B119" s="141">
        <v>7.310000364668667E-05</v>
      </c>
      <c r="C119" s="139"/>
      <c r="D119" s="141">
        <v>7.179633118134938E-05</v>
      </c>
      <c r="E119" s="139"/>
      <c r="F119" s="60">
        <v>1.4444848429388217</v>
      </c>
      <c r="G119" s="59">
        <v>36.66513130357692</v>
      </c>
      <c r="H119" s="59">
        <v>4568.78988657768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U119" s="56"/>
      <c r="V119" s="56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ht="12.75" customHeight="1">
      <c r="A120" s="59">
        <v>400</v>
      </c>
      <c r="B120" s="141">
        <v>9.300000237999484E-05</v>
      </c>
      <c r="C120" s="139"/>
      <c r="D120" s="141">
        <v>9.336428236796955E-05</v>
      </c>
      <c r="E120" s="139"/>
      <c r="F120" s="60">
        <v>1.4858258333832572</v>
      </c>
      <c r="G120" s="59">
        <v>49.55861894015488</v>
      </c>
      <c r="H120" s="59">
        <v>4699.548128844429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U120" s="56"/>
      <c r="V120" s="5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ht="12.75" customHeight="1">
      <c r="A121" s="59">
        <v>488.5166013532593</v>
      </c>
      <c r="B121" s="141">
        <v>0.00011215420818189159</v>
      </c>
      <c r="C121" s="139"/>
      <c r="D121" s="141">
        <v>0.00011200949488686981</v>
      </c>
      <c r="E121" s="139"/>
      <c r="F121" s="60">
        <v>1.5153968280453076</v>
      </c>
      <c r="G121" s="59">
        <v>60.98176358464165</v>
      </c>
      <c r="H121" s="59">
        <v>4793.0788169706875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U121" s="56"/>
      <c r="V121" s="5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ht="12.75" customHeight="1">
      <c r="A122" s="59"/>
      <c r="B122" s="141"/>
      <c r="C122" s="139"/>
      <c r="D122" s="144"/>
      <c r="E122" s="140"/>
      <c r="F122" s="60"/>
      <c r="G122" s="59">
        <v>250</v>
      </c>
      <c r="H122" s="59">
        <v>4793.0788169706875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U122" s="56"/>
      <c r="V122" s="5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ht="12.75" customHeight="1">
      <c r="A123" s="59"/>
      <c r="B123" s="141"/>
      <c r="C123" s="139"/>
      <c r="D123" s="141"/>
      <c r="E123" s="139"/>
      <c r="F123" s="60"/>
      <c r="G123" s="59"/>
      <c r="H123" s="59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U123" s="56"/>
      <c r="V123" s="56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ht="12.75" customHeight="1">
      <c r="A124" s="59"/>
      <c r="B124" s="141"/>
      <c r="C124" s="139"/>
      <c r="D124" s="141"/>
      <c r="E124" s="139"/>
      <c r="F124" s="60"/>
      <c r="G124" s="59"/>
      <c r="H124" s="59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U124" s="56"/>
      <c r="V124" s="5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ht="12.75" customHeight="1">
      <c r="A125" s="59"/>
      <c r="B125" s="141"/>
      <c r="C125" s="139"/>
      <c r="D125" s="141"/>
      <c r="E125" s="139"/>
      <c r="F125" s="60"/>
      <c r="G125" s="59"/>
      <c r="H125" s="59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U125" s="56"/>
      <c r="V125" s="5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ht="12.75" customHeight="1">
      <c r="A126" s="59"/>
      <c r="B126" s="141"/>
      <c r="C126" s="139"/>
      <c r="D126" s="141"/>
      <c r="E126" s="139"/>
      <c r="F126" s="60"/>
      <c r="G126" s="59"/>
      <c r="H126" s="59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U126" s="56"/>
      <c r="V126" s="56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ht="12.75" customHeight="1">
      <c r="A127" s="59"/>
      <c r="B127" s="141"/>
      <c r="C127" s="139"/>
      <c r="D127" s="141"/>
      <c r="E127" s="139"/>
      <c r="F127" s="60"/>
      <c r="G127" s="59"/>
      <c r="H127" s="59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U127" s="56"/>
      <c r="V127" s="56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ht="12.75" customHeight="1">
      <c r="A128" s="59"/>
      <c r="B128" s="141"/>
      <c r="C128" s="139"/>
      <c r="D128" s="141"/>
      <c r="E128" s="139"/>
      <c r="F128" s="60"/>
      <c r="G128" s="59"/>
      <c r="H128" s="59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U128" s="56"/>
      <c r="V128" s="5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ht="12.75" customHeight="1">
      <c r="A129" s="59"/>
      <c r="B129" s="141"/>
      <c r="C129" s="139"/>
      <c r="D129" s="141"/>
      <c r="E129" s="139"/>
      <c r="F129" s="60"/>
      <c r="G129" s="59"/>
      <c r="H129" s="59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ht="12.75" customHeight="1">
      <c r="A130" s="57"/>
      <c r="B130" s="57"/>
      <c r="C130" s="57"/>
      <c r="D130" s="57"/>
      <c r="E130" s="142"/>
      <c r="F130" s="57"/>
      <c r="G130" s="57"/>
      <c r="H130" s="57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U130" s="56"/>
      <c r="V130" s="5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18" ht="12.75" customHeight="1">
      <c r="A131" s="1"/>
      <c r="B131" s="1"/>
      <c r="C131" s="1"/>
      <c r="D131" s="1"/>
      <c r="E131" s="143"/>
      <c r="F131" s="1"/>
      <c r="G131" s="1"/>
      <c r="H131" s="1"/>
      <c r="R131" s="37"/>
    </row>
    <row r="132" spans="1:8" ht="12.75" customHeight="1">
      <c r="A132" s="1"/>
      <c r="B132" s="1"/>
      <c r="C132" s="1"/>
      <c r="D132" s="1"/>
      <c r="E132" s="143"/>
      <c r="F132" s="1"/>
      <c r="G132" s="1"/>
      <c r="H132" s="1"/>
    </row>
    <row r="133" spans="1:8" ht="12.75" customHeight="1">
      <c r="A133" s="1"/>
      <c r="B133" s="1"/>
      <c r="C133" s="1"/>
      <c r="D133" s="1"/>
      <c r="E133" s="143"/>
      <c r="F133" s="1"/>
      <c r="G133" s="1"/>
      <c r="H133" s="1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5" ht="13.5">
      <c r="B145" s="34"/>
    </row>
    <row r="146" ht="13.5">
      <c r="B146" s="34"/>
    </row>
    <row r="147" ht="13.5">
      <c r="B147" s="34"/>
    </row>
    <row r="148" ht="13.5">
      <c r="B148" s="34"/>
    </row>
    <row r="149" ht="13.5">
      <c r="B149" s="34"/>
    </row>
    <row r="150" ht="13.5">
      <c r="B150" s="34"/>
    </row>
    <row r="151" ht="13.5">
      <c r="B151" s="34"/>
    </row>
    <row r="152" ht="13.5">
      <c r="B152" s="34"/>
    </row>
    <row r="153" ht="13.5">
      <c r="B153" s="34"/>
    </row>
    <row r="154" ht="13.5">
      <c r="B154" s="34"/>
    </row>
    <row r="170" spans="1:12" ht="13.5">
      <c r="A170" t="s">
        <v>3</v>
      </c>
      <c r="G170" t="s">
        <v>4</v>
      </c>
      <c r="H170" s="10"/>
      <c r="I170" t="s">
        <v>5</v>
      </c>
      <c r="K170" s="11" t="e">
        <f>+(H178*10^-3)/((H170-13.3)*10^-6)</f>
        <v>#DIV/0!</v>
      </c>
      <c r="L170" t="s">
        <v>6</v>
      </c>
    </row>
    <row r="171" spans="1:27" ht="13.5">
      <c r="A171" s="1" t="s">
        <v>7</v>
      </c>
      <c r="B171" s="1">
        <v>10</v>
      </c>
      <c r="C171" s="1"/>
      <c r="D171" s="1">
        <v>20</v>
      </c>
      <c r="E171" s="1"/>
      <c r="F171" s="1">
        <v>30</v>
      </c>
      <c r="G171" s="1">
        <v>40</v>
      </c>
      <c r="H171" s="1">
        <v>50</v>
      </c>
      <c r="I171" s="1">
        <v>60</v>
      </c>
      <c r="J171" s="1">
        <v>70</v>
      </c>
      <c r="K171" s="1">
        <v>80</v>
      </c>
      <c r="L171" s="1">
        <v>90</v>
      </c>
      <c r="M171" s="1">
        <v>100</v>
      </c>
      <c r="N171" s="1">
        <v>110</v>
      </c>
      <c r="O171" s="1">
        <v>120</v>
      </c>
      <c r="P171" s="1">
        <v>130</v>
      </c>
      <c r="Q171" s="1">
        <v>140</v>
      </c>
      <c r="R171" s="1">
        <v>150</v>
      </c>
      <c r="S171" s="1">
        <v>160</v>
      </c>
      <c r="T171" s="1">
        <v>170</v>
      </c>
      <c r="U171" s="1">
        <v>180</v>
      </c>
      <c r="V171" s="1">
        <v>190</v>
      </c>
      <c r="W171" s="1">
        <v>200</v>
      </c>
      <c r="X171" s="1">
        <v>210</v>
      </c>
      <c r="Y171" s="1">
        <v>220</v>
      </c>
      <c r="Z171" s="1">
        <v>230</v>
      </c>
      <c r="AA171" s="1">
        <v>240</v>
      </c>
    </row>
    <row r="172" spans="1:27" ht="13.5">
      <c r="A172" s="1" t="s">
        <v>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3.5">
      <c r="A173" s="1" t="s">
        <v>9</v>
      </c>
      <c r="B173" s="7" t="e">
        <f>+($D$176*10^-3)/((B172-13.3)*10^-6)</f>
        <v>#DIV/0!</v>
      </c>
      <c r="C173" s="7"/>
      <c r="D173" s="7" t="e">
        <f>+($D$176*10^-3)/((D172-13.3)*10^-6)</f>
        <v>#DIV/0!</v>
      </c>
      <c r="E173" s="7"/>
      <c r="F173" s="7" t="e">
        <f aca="true" t="shared" si="12" ref="F173:AA173">+($D$176*10^-3)/((F172-13.3)*10^-6)</f>
        <v>#DIV/0!</v>
      </c>
      <c r="G173" s="7" t="e">
        <f t="shared" si="12"/>
        <v>#DIV/0!</v>
      </c>
      <c r="H173" s="7" t="e">
        <f t="shared" si="12"/>
        <v>#DIV/0!</v>
      </c>
      <c r="I173" s="7" t="e">
        <f t="shared" si="12"/>
        <v>#DIV/0!</v>
      </c>
      <c r="J173" s="7" t="e">
        <f t="shared" si="12"/>
        <v>#DIV/0!</v>
      </c>
      <c r="K173" s="7" t="e">
        <f t="shared" si="12"/>
        <v>#DIV/0!</v>
      </c>
      <c r="L173" s="7" t="e">
        <f t="shared" si="12"/>
        <v>#DIV/0!</v>
      </c>
      <c r="M173" s="7" t="e">
        <f t="shared" si="12"/>
        <v>#DIV/0!</v>
      </c>
      <c r="N173" s="7" t="e">
        <f t="shared" si="12"/>
        <v>#DIV/0!</v>
      </c>
      <c r="O173" s="7" t="e">
        <f t="shared" si="12"/>
        <v>#DIV/0!</v>
      </c>
      <c r="P173" s="7" t="e">
        <f t="shared" si="12"/>
        <v>#DIV/0!</v>
      </c>
      <c r="Q173" s="7" t="e">
        <f t="shared" si="12"/>
        <v>#DIV/0!</v>
      </c>
      <c r="R173" s="7" t="e">
        <f t="shared" si="12"/>
        <v>#DIV/0!</v>
      </c>
      <c r="S173" s="7" t="e">
        <f t="shared" si="12"/>
        <v>#DIV/0!</v>
      </c>
      <c r="T173" s="7" t="e">
        <f t="shared" si="12"/>
        <v>#DIV/0!</v>
      </c>
      <c r="U173" s="7" t="e">
        <f t="shared" si="12"/>
        <v>#DIV/0!</v>
      </c>
      <c r="V173" s="7" t="e">
        <f t="shared" si="12"/>
        <v>#DIV/0!</v>
      </c>
      <c r="W173" s="7" t="e">
        <f t="shared" si="12"/>
        <v>#DIV/0!</v>
      </c>
      <c r="X173" s="7" t="e">
        <f t="shared" si="12"/>
        <v>#DIV/0!</v>
      </c>
      <c r="Y173" s="7" t="e">
        <f t="shared" si="12"/>
        <v>#DIV/0!</v>
      </c>
      <c r="Z173" s="7" t="e">
        <f t="shared" si="12"/>
        <v>#DIV/0!</v>
      </c>
      <c r="AA173" s="7" t="e">
        <f t="shared" si="12"/>
        <v>#DIV/0!</v>
      </c>
    </row>
    <row r="174" spans="1:9" ht="13.5">
      <c r="A174" t="s">
        <v>10</v>
      </c>
      <c r="B174" t="s">
        <v>11</v>
      </c>
      <c r="D174" s="26"/>
      <c r="E174" s="8"/>
      <c r="F174" t="s">
        <v>68</v>
      </c>
      <c r="G174" t="s">
        <v>12</v>
      </c>
      <c r="H174" s="26"/>
      <c r="I174" t="s">
        <v>68</v>
      </c>
    </row>
    <row r="175" spans="4:9" ht="13.5">
      <c r="D175" s="27"/>
      <c r="E175" s="4"/>
      <c r="F175" t="s">
        <v>68</v>
      </c>
      <c r="H175" s="26"/>
      <c r="I175" t="s">
        <v>68</v>
      </c>
    </row>
    <row r="176" spans="2:9" ht="13.5">
      <c r="B176" t="s">
        <v>13</v>
      </c>
      <c r="D176" s="28" t="e">
        <f>AVERAGE(D174:D175)</f>
        <v>#DIV/0!</v>
      </c>
      <c r="E176" s="9"/>
      <c r="F176" t="s">
        <v>68</v>
      </c>
      <c r="H176" s="26"/>
      <c r="I176" t="s">
        <v>68</v>
      </c>
    </row>
    <row r="177" spans="8:9" ht="13.5">
      <c r="H177" s="26"/>
      <c r="I177" t="s">
        <v>68</v>
      </c>
    </row>
    <row r="178" spans="7:9" ht="13.5">
      <c r="G178" t="s">
        <v>13</v>
      </c>
      <c r="H178" s="28" t="e">
        <f>AVERAGE(H174:H177)</f>
        <v>#DIV/0!</v>
      </c>
      <c r="I178" t="s">
        <v>68</v>
      </c>
    </row>
    <row r="181" spans="1:8" ht="13.5">
      <c r="A181">
        <v>297.9146048802904</v>
      </c>
      <c r="B181">
        <v>7.519057544413954E-05</v>
      </c>
      <c r="D181">
        <v>7.50061910908888E-05</v>
      </c>
      <c r="F181">
        <v>1.4427443214665863</v>
      </c>
      <c r="G181">
        <v>36.87066550020419</v>
      </c>
      <c r="H181">
        <v>4355.693010127673</v>
      </c>
    </row>
  </sheetData>
  <sheetProtection/>
  <mergeCells count="44">
    <mergeCell ref="B58:C58"/>
    <mergeCell ref="E58:F58"/>
    <mergeCell ref="B59:C59"/>
    <mergeCell ref="B60:C60"/>
    <mergeCell ref="B53:C53"/>
    <mergeCell ref="D53:E53"/>
    <mergeCell ref="B56:C56"/>
    <mergeCell ref="E56:F56"/>
    <mergeCell ref="B57:C57"/>
    <mergeCell ref="E57:F57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Q42:T42"/>
    <mergeCell ref="B44:C44"/>
    <mergeCell ref="D44:E44"/>
    <mergeCell ref="B45:C45"/>
    <mergeCell ref="D45:E45"/>
    <mergeCell ref="B46:C46"/>
    <mergeCell ref="D46:E46"/>
    <mergeCell ref="E41:G41"/>
    <mergeCell ref="N41:P41"/>
    <mergeCell ref="A42:A43"/>
    <mergeCell ref="B42:C43"/>
    <mergeCell ref="D42:E43"/>
    <mergeCell ref="F42:I42"/>
    <mergeCell ref="J42:M42"/>
    <mergeCell ref="N42:P42"/>
    <mergeCell ref="A1:C1"/>
    <mergeCell ref="D1:F1"/>
    <mergeCell ref="G1:I1"/>
    <mergeCell ref="J1:L1"/>
    <mergeCell ref="M1:O1"/>
    <mergeCell ref="A2:C2"/>
    <mergeCell ref="D2:N2"/>
  </mergeCells>
  <printOptions horizontalCentered="1"/>
  <pageMargins left="0.3937007874015748" right="0.2362204724409449" top="1.1811023622047245" bottom="0.31496062992125984" header="0.9448818897637796" footer="0.2755905511811024"/>
  <pageSetup horizontalDpi="600" verticalDpi="600" orientation="landscape" paperSize="9" scale="110" r:id="rId2"/>
  <headerFooter alignWithMargins="0">
    <oddHeader>&amp;L&amp;D&amp;R&amp;F&amp;A</oddHeader>
  </headerFooter>
  <rowBreaks count="1" manualBreakCount="1">
    <brk id="34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AN18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3" width="5.625" style="0" customWidth="1"/>
    <col min="4" max="4" width="7.75390625" style="0" customWidth="1"/>
    <col min="5" max="22" width="5.625" style="0" customWidth="1"/>
  </cols>
  <sheetData>
    <row r="1" spans="1:16" ht="13.5">
      <c r="A1" s="148" t="s">
        <v>40</v>
      </c>
      <c r="B1" s="148"/>
      <c r="C1" s="148"/>
      <c r="D1" s="149">
        <v>39051</v>
      </c>
      <c r="E1" s="150"/>
      <c r="F1" s="151"/>
      <c r="G1" s="148" t="s">
        <v>44</v>
      </c>
      <c r="H1" s="148"/>
      <c r="I1" s="148"/>
      <c r="J1" s="149">
        <v>38718</v>
      </c>
      <c r="K1" s="150"/>
      <c r="L1" s="151"/>
      <c r="M1" s="152" t="s">
        <v>61</v>
      </c>
      <c r="N1" s="153"/>
      <c r="O1" s="154"/>
      <c r="P1" s="65">
        <v>-13.3</v>
      </c>
    </row>
    <row r="2" spans="1:14" ht="18" customHeight="1">
      <c r="A2" s="155" t="s">
        <v>35</v>
      </c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7"/>
    </row>
    <row r="3" spans="1:19" ht="36" customHeight="1">
      <c r="A3" s="1" t="s">
        <v>64</v>
      </c>
      <c r="B3" s="97" t="s">
        <v>65</v>
      </c>
      <c r="C3" s="97" t="s">
        <v>36</v>
      </c>
      <c r="D3" s="97" t="s">
        <v>66</v>
      </c>
      <c r="E3" s="99" t="s">
        <v>46</v>
      </c>
      <c r="F3" s="101" t="s">
        <v>1</v>
      </c>
      <c r="G3" s="29"/>
      <c r="H3" s="29"/>
      <c r="Q3" s="94"/>
      <c r="R3" s="94"/>
      <c r="S3" s="94"/>
    </row>
    <row r="4" spans="1:8" ht="13.5">
      <c r="A4" s="63">
        <v>1</v>
      </c>
      <c r="B4" s="95">
        <v>50</v>
      </c>
      <c r="C4" s="92">
        <v>31</v>
      </c>
      <c r="D4" s="98">
        <f aca="true" t="shared" si="0" ref="D4:D17">IF(B4="",D3,IF(B4&gt;(B4-$B$32)*(1+$F$32),(B4-$B$32)*(1+$F$32),B4))</f>
        <v>43.26</v>
      </c>
      <c r="E4" s="100">
        <f aca="true" t="shared" si="1" ref="E4:E17">IF(B4="",E3,D4*10^-3/((C4+$P$1)*10^-6))</f>
        <v>2444.0677966101694</v>
      </c>
      <c r="F4" s="102">
        <f>IF(B4="","",C4*10^-6)</f>
        <v>3.1E-05</v>
      </c>
      <c r="G4" s="29"/>
      <c r="H4" s="29"/>
    </row>
    <row r="5" spans="1:8" ht="13.5">
      <c r="A5" s="64">
        <v>2</v>
      </c>
      <c r="B5" s="96">
        <v>75</v>
      </c>
      <c r="C5" s="93">
        <v>42.1</v>
      </c>
      <c r="D5" s="98">
        <f t="shared" si="0"/>
        <v>69.01</v>
      </c>
      <c r="E5" s="100">
        <f t="shared" si="1"/>
        <v>2396.1805555555557</v>
      </c>
      <c r="F5" s="102">
        <f aca="true" t="shared" si="2" ref="F5:F28">IF(B5="","",C5*10^-6)</f>
        <v>4.21E-05</v>
      </c>
      <c r="G5" s="29"/>
      <c r="H5" s="29"/>
    </row>
    <row r="6" spans="1:8" ht="13.5">
      <c r="A6" s="64">
        <v>3</v>
      </c>
      <c r="B6" s="96">
        <v>100</v>
      </c>
      <c r="C6" s="93">
        <v>47.7</v>
      </c>
      <c r="D6" s="98">
        <f t="shared" si="0"/>
        <v>94.76</v>
      </c>
      <c r="E6" s="100">
        <f t="shared" si="1"/>
        <v>2754.651162790698</v>
      </c>
      <c r="F6" s="102">
        <f t="shared" si="2"/>
        <v>4.77E-05</v>
      </c>
      <c r="G6" s="29"/>
      <c r="H6" s="29"/>
    </row>
    <row r="7" spans="1:8" ht="13.5">
      <c r="A7" s="64">
        <v>4</v>
      </c>
      <c r="B7" s="96">
        <v>125</v>
      </c>
      <c r="C7" s="93">
        <v>57.9</v>
      </c>
      <c r="D7" s="98">
        <f t="shared" si="0"/>
        <v>120.51</v>
      </c>
      <c r="E7" s="100">
        <f t="shared" si="1"/>
        <v>2702.0179372197317</v>
      </c>
      <c r="F7" s="102">
        <f t="shared" si="2"/>
        <v>5.79E-05</v>
      </c>
      <c r="G7" s="29"/>
      <c r="H7" s="29"/>
    </row>
    <row r="8" spans="1:8" ht="13.5">
      <c r="A8" s="64">
        <v>5</v>
      </c>
      <c r="B8" s="96">
        <v>150</v>
      </c>
      <c r="C8" s="93">
        <v>62.7</v>
      </c>
      <c r="D8" s="98">
        <f t="shared" si="0"/>
        <v>146.26</v>
      </c>
      <c r="E8" s="100">
        <f t="shared" si="1"/>
        <v>2960.728744939271</v>
      </c>
      <c r="F8" s="102">
        <f t="shared" si="2"/>
        <v>6.27E-05</v>
      </c>
      <c r="G8" s="29"/>
      <c r="H8" s="29"/>
    </row>
    <row r="9" spans="1:8" ht="13.5">
      <c r="A9" s="64">
        <v>6</v>
      </c>
      <c r="B9" s="96">
        <v>175</v>
      </c>
      <c r="C9" s="93">
        <v>70</v>
      </c>
      <c r="D9" s="98">
        <f t="shared" si="0"/>
        <v>172.01</v>
      </c>
      <c r="E9" s="100">
        <f t="shared" si="1"/>
        <v>3033.6860670194</v>
      </c>
      <c r="F9" s="102">
        <f t="shared" si="2"/>
        <v>7E-05</v>
      </c>
      <c r="G9" s="29"/>
      <c r="H9" s="29"/>
    </row>
    <row r="10" spans="1:8" ht="13.5">
      <c r="A10" s="64">
        <v>7</v>
      </c>
      <c r="B10" s="96">
        <v>200</v>
      </c>
      <c r="C10" s="93">
        <v>79.6</v>
      </c>
      <c r="D10" s="98">
        <f t="shared" si="0"/>
        <v>197.76</v>
      </c>
      <c r="E10" s="100">
        <f t="shared" si="1"/>
        <v>2982.8054298642533</v>
      </c>
      <c r="F10" s="102">
        <f t="shared" si="2"/>
        <v>7.96E-05</v>
      </c>
      <c r="G10" s="29"/>
      <c r="H10" s="29"/>
    </row>
    <row r="11" spans="1:8" ht="13.5">
      <c r="A11" s="64">
        <v>8</v>
      </c>
      <c r="B11" s="96">
        <v>250</v>
      </c>
      <c r="C11" s="93">
        <v>93.6</v>
      </c>
      <c r="D11" s="98">
        <f t="shared" si="0"/>
        <v>249.26000000000002</v>
      </c>
      <c r="E11" s="100">
        <f t="shared" si="1"/>
        <v>3104.109589041096</v>
      </c>
      <c r="F11" s="102">
        <f t="shared" si="2"/>
        <v>9.359999999999998E-05</v>
      </c>
      <c r="G11" s="29"/>
      <c r="H11" s="29"/>
    </row>
    <row r="12" spans="1:8" ht="13.5">
      <c r="A12" s="64">
        <v>9</v>
      </c>
      <c r="B12" s="96">
        <v>300</v>
      </c>
      <c r="C12" s="93">
        <v>110.2</v>
      </c>
      <c r="D12" s="98">
        <f t="shared" si="0"/>
        <v>300</v>
      </c>
      <c r="E12" s="100">
        <f t="shared" si="1"/>
        <v>3095.9752321981423</v>
      </c>
      <c r="F12" s="102">
        <f t="shared" si="2"/>
        <v>0.0001102</v>
      </c>
      <c r="G12" s="29"/>
      <c r="H12" s="29"/>
    </row>
    <row r="13" spans="1:8" ht="13.5">
      <c r="A13" s="64">
        <v>10</v>
      </c>
      <c r="B13" s="96">
        <v>350</v>
      </c>
      <c r="C13" s="93">
        <v>126.8</v>
      </c>
      <c r="D13" s="98">
        <f t="shared" si="0"/>
        <v>350</v>
      </c>
      <c r="E13" s="100">
        <f t="shared" si="1"/>
        <v>3083.7004405286348</v>
      </c>
      <c r="F13" s="102">
        <f t="shared" si="2"/>
        <v>0.0001268</v>
      </c>
      <c r="G13" s="29"/>
      <c r="H13" s="29"/>
    </row>
    <row r="14" spans="1:8" ht="13.5">
      <c r="A14" s="64">
        <v>11</v>
      </c>
      <c r="B14" s="96">
        <v>400</v>
      </c>
      <c r="C14" s="93">
        <v>142.8</v>
      </c>
      <c r="D14" s="98">
        <f t="shared" si="0"/>
        <v>400</v>
      </c>
      <c r="E14" s="100">
        <f t="shared" si="1"/>
        <v>3088.803088803089</v>
      </c>
      <c r="F14" s="102">
        <f t="shared" si="2"/>
        <v>0.0001428</v>
      </c>
      <c r="G14" s="29"/>
      <c r="H14" s="29"/>
    </row>
    <row r="15" spans="1:8" ht="13.5">
      <c r="A15" s="64">
        <v>12</v>
      </c>
      <c r="B15" s="96">
        <v>450</v>
      </c>
      <c r="C15" s="93">
        <v>159.8</v>
      </c>
      <c r="D15" s="98">
        <f t="shared" si="0"/>
        <v>450</v>
      </c>
      <c r="E15" s="100">
        <f t="shared" si="1"/>
        <v>3071.672354948806</v>
      </c>
      <c r="F15" s="102">
        <f t="shared" si="2"/>
        <v>0.0001598</v>
      </c>
      <c r="G15" s="29"/>
      <c r="H15" s="29"/>
    </row>
    <row r="16" spans="1:8" ht="13.5">
      <c r="A16" s="64">
        <v>13</v>
      </c>
      <c r="B16" s="96">
        <v>500</v>
      </c>
      <c r="C16" s="93">
        <v>176</v>
      </c>
      <c r="D16" s="98">
        <f t="shared" si="0"/>
        <v>500</v>
      </c>
      <c r="E16" s="100">
        <f t="shared" si="1"/>
        <v>3073.1407498463436</v>
      </c>
      <c r="F16" s="102">
        <f t="shared" si="2"/>
        <v>0.000176</v>
      </c>
      <c r="G16" s="29"/>
      <c r="H16" s="29"/>
    </row>
    <row r="17" spans="1:8" ht="13.5">
      <c r="A17" s="64">
        <v>14</v>
      </c>
      <c r="B17" s="96">
        <v>1200</v>
      </c>
      <c r="C17" s="93">
        <v>400</v>
      </c>
      <c r="D17" s="98">
        <f t="shared" si="0"/>
        <v>1200</v>
      </c>
      <c r="E17" s="100">
        <f t="shared" si="1"/>
        <v>3103.1807602792865</v>
      </c>
      <c r="F17" s="102">
        <f t="shared" si="2"/>
        <v>0.00039999999999999996</v>
      </c>
      <c r="G17" s="29"/>
      <c r="H17" s="29"/>
    </row>
    <row r="18" spans="1:19" ht="13.5" customHeight="1">
      <c r="A18" s="64">
        <v>15</v>
      </c>
      <c r="B18" s="96"/>
      <c r="C18" s="93"/>
      <c r="D18" s="98">
        <f>IF(B18="",D17,IF(B18&gt;(B18-$B$32)*(1+$F$32),(B18-$B$32)*(1+$F$32),B18))</f>
        <v>1200</v>
      </c>
      <c r="E18" s="100">
        <f>IF(B18="",E17,D18*10^-3/((C18+$P$1)*10^-6))</f>
        <v>3103.1807602792865</v>
      </c>
      <c r="F18" s="102">
        <f t="shared" si="2"/>
      </c>
      <c r="Q18">
        <v>150</v>
      </c>
      <c r="R18">
        <v>29.1</v>
      </c>
      <c r="S18">
        <f>IF(R18="","",69*10^-3/((R18-13.3)*10^-6))</f>
        <v>4367.088607594937</v>
      </c>
    </row>
    <row r="19" spans="1:6" ht="13.5">
      <c r="A19" s="64">
        <v>16</v>
      </c>
      <c r="B19" s="96"/>
      <c r="C19" s="93"/>
      <c r="D19" s="98">
        <f aca="true" t="shared" si="3" ref="D19:D28">IF(B19="",D18,IF(B19&gt;(B19-$B$32)*(1+$F$32),(B19-$B$32)*(1+$F$32),B19))</f>
        <v>1200</v>
      </c>
      <c r="E19" s="100">
        <f aca="true" t="shared" si="4" ref="E19:E28">IF(B19="",E18,D19*10^-3/((C19+$P$1)*10^-6))</f>
        <v>3103.1807602792865</v>
      </c>
      <c r="F19" s="102">
        <f t="shared" si="2"/>
      </c>
    </row>
    <row r="20" spans="1:6" ht="13.5">
      <c r="A20" s="64">
        <v>17</v>
      </c>
      <c r="B20" s="96"/>
      <c r="C20" s="93"/>
      <c r="D20" s="98">
        <f t="shared" si="3"/>
        <v>1200</v>
      </c>
      <c r="E20" s="100">
        <f t="shared" si="4"/>
        <v>3103.1807602792865</v>
      </c>
      <c r="F20" s="102">
        <f t="shared" si="2"/>
      </c>
    </row>
    <row r="21" spans="1:6" ht="13.5">
      <c r="A21" s="64">
        <v>18</v>
      </c>
      <c r="B21" s="96"/>
      <c r="C21" s="93"/>
      <c r="D21" s="98">
        <f t="shared" si="3"/>
        <v>1200</v>
      </c>
      <c r="E21" s="100">
        <f t="shared" si="4"/>
        <v>3103.1807602792865</v>
      </c>
      <c r="F21" s="102">
        <f t="shared" si="2"/>
      </c>
    </row>
    <row r="22" spans="1:6" ht="13.5">
      <c r="A22" s="64">
        <v>19</v>
      </c>
      <c r="B22" s="96"/>
      <c r="C22" s="93"/>
      <c r="D22" s="98">
        <f t="shared" si="3"/>
        <v>1200</v>
      </c>
      <c r="E22" s="100">
        <f t="shared" si="4"/>
        <v>3103.1807602792865</v>
      </c>
      <c r="F22" s="102">
        <f t="shared" si="2"/>
      </c>
    </row>
    <row r="23" spans="1:6" ht="13.5">
      <c r="A23" s="64">
        <v>20</v>
      </c>
      <c r="B23" s="96"/>
      <c r="C23" s="93"/>
      <c r="D23" s="98">
        <f t="shared" si="3"/>
        <v>1200</v>
      </c>
      <c r="E23" s="100">
        <f t="shared" si="4"/>
        <v>3103.1807602792865</v>
      </c>
      <c r="F23" s="102">
        <f t="shared" si="2"/>
      </c>
    </row>
    <row r="24" spans="1:6" ht="13.5">
      <c r="A24" s="64">
        <v>21</v>
      </c>
      <c r="B24" s="96"/>
      <c r="C24" s="93"/>
      <c r="D24" s="98">
        <f t="shared" si="3"/>
        <v>1200</v>
      </c>
      <c r="E24" s="100">
        <f t="shared" si="4"/>
        <v>3103.1807602792865</v>
      </c>
      <c r="F24" s="102">
        <f t="shared" si="2"/>
      </c>
    </row>
    <row r="25" spans="1:6" ht="13.5">
      <c r="A25" s="64">
        <v>22</v>
      </c>
      <c r="B25" s="96"/>
      <c r="C25" s="93"/>
      <c r="D25" s="98">
        <f t="shared" si="3"/>
        <v>1200</v>
      </c>
      <c r="E25" s="100">
        <f t="shared" si="4"/>
        <v>3103.1807602792865</v>
      </c>
      <c r="F25" s="102">
        <f t="shared" si="2"/>
      </c>
    </row>
    <row r="26" spans="1:6" ht="13.5">
      <c r="A26" s="64">
        <v>23</v>
      </c>
      <c r="B26" s="96"/>
      <c r="C26" s="93"/>
      <c r="D26" s="98">
        <f t="shared" si="3"/>
        <v>1200</v>
      </c>
      <c r="E26" s="100">
        <f t="shared" si="4"/>
        <v>3103.1807602792865</v>
      </c>
      <c r="F26" s="102">
        <f t="shared" si="2"/>
      </c>
    </row>
    <row r="27" spans="1:24" ht="13.5">
      <c r="A27" s="64">
        <v>24</v>
      </c>
      <c r="B27" s="96"/>
      <c r="C27" s="93"/>
      <c r="D27" s="98">
        <f t="shared" si="3"/>
        <v>1200</v>
      </c>
      <c r="E27" s="100">
        <f t="shared" si="4"/>
        <v>3103.1807602792865</v>
      </c>
      <c r="F27" s="102">
        <f t="shared" si="2"/>
      </c>
      <c r="X27" t="s">
        <v>67</v>
      </c>
    </row>
    <row r="28" spans="1:6" ht="13.5">
      <c r="A28" s="64">
        <v>25</v>
      </c>
      <c r="B28" s="96"/>
      <c r="C28" s="93"/>
      <c r="D28" s="98">
        <f t="shared" si="3"/>
        <v>1200</v>
      </c>
      <c r="E28" s="100">
        <f t="shared" si="4"/>
        <v>3103.1807602792865</v>
      </c>
      <c r="F28" s="102">
        <f t="shared" si="2"/>
      </c>
    </row>
    <row r="29" spans="1:6" ht="13.5">
      <c r="A29" s="1"/>
      <c r="B29" s="91" t="s">
        <v>87</v>
      </c>
      <c r="C29" s="91"/>
      <c r="D29" s="91"/>
      <c r="E29" s="97"/>
      <c r="F29" s="102"/>
    </row>
    <row r="30" spans="1:6" ht="13.5">
      <c r="A30" s="1" t="s">
        <v>88</v>
      </c>
      <c r="B30" s="138">
        <f>COUNT(B4:B28)</f>
        <v>14</v>
      </c>
      <c r="C30" s="91"/>
      <c r="D30" s="91"/>
      <c r="E30" s="97"/>
      <c r="F30" s="102"/>
    </row>
    <row r="31" spans="1:6" ht="13.5">
      <c r="A31" s="1"/>
      <c r="B31" s="91"/>
      <c r="C31" s="91"/>
      <c r="D31" s="91"/>
      <c r="E31" s="97"/>
      <c r="F31" s="102"/>
    </row>
    <row r="32" spans="1:12" s="103" customFormat="1" ht="13.5" customHeight="1">
      <c r="A32" s="108" t="s">
        <v>2</v>
      </c>
      <c r="B32" s="109">
        <v>8</v>
      </c>
      <c r="C32" s="110" t="s">
        <v>68</v>
      </c>
      <c r="D32" s="104"/>
      <c r="E32" s="104" t="s">
        <v>69</v>
      </c>
      <c r="F32" s="109">
        <v>0.03</v>
      </c>
      <c r="H32" s="103" t="s">
        <v>27</v>
      </c>
      <c r="K32" s="109">
        <v>8</v>
      </c>
      <c r="L32" s="111" t="s">
        <v>14</v>
      </c>
    </row>
    <row r="33" spans="1:22" s="103" customFormat="1" ht="13.5" customHeight="1" thickBot="1">
      <c r="A33" s="103" t="s">
        <v>70</v>
      </c>
      <c r="D33" s="111"/>
      <c r="E33" s="111"/>
      <c r="F33" s="111"/>
      <c r="G33" s="111"/>
      <c r="H33" s="111"/>
      <c r="I33" s="111"/>
      <c r="S33" s="112" t="s">
        <v>9</v>
      </c>
      <c r="T33" s="113" t="s">
        <v>73</v>
      </c>
      <c r="U33" s="114">
        <v>3481.8834260531303</v>
      </c>
      <c r="V33" s="115" t="s">
        <v>6</v>
      </c>
    </row>
    <row r="34" spans="1:9" s="115" customFormat="1" ht="13.5" customHeight="1" thickBot="1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21" s="103" customFormat="1" ht="13.5" customHeight="1">
      <c r="A35" s="104"/>
      <c r="B35" s="104"/>
      <c r="C35" s="104"/>
      <c r="D35" s="104"/>
      <c r="E35" s="104"/>
      <c r="F35" s="104"/>
      <c r="J35" s="135"/>
      <c r="K35" s="105" t="s">
        <v>89</v>
      </c>
      <c r="L35" s="106"/>
      <c r="M35" s="106"/>
      <c r="N35" s="106"/>
      <c r="O35" s="107"/>
      <c r="P35" s="106"/>
      <c r="Q35" s="106"/>
      <c r="R35" s="66" t="s">
        <v>74</v>
      </c>
      <c r="S35" s="146">
        <f>S36*(B59+B60*P36)/P36</f>
        <v>3.6160097860597995</v>
      </c>
      <c r="T35" s="122" t="s">
        <v>75</v>
      </c>
      <c r="U35" s="121"/>
    </row>
    <row r="36" spans="4:22" s="103" customFormat="1" ht="13.5" customHeight="1">
      <c r="D36" s="104"/>
      <c r="E36" s="104"/>
      <c r="F36" s="104"/>
      <c r="G36" s="111"/>
      <c r="H36" s="111"/>
      <c r="I36" s="111"/>
      <c r="J36" s="133"/>
      <c r="K36" s="105" t="s">
        <v>39</v>
      </c>
      <c r="N36" s="106" t="s">
        <v>76</v>
      </c>
      <c r="P36" s="89">
        <f>$D$1-$J$1</f>
        <v>333</v>
      </c>
      <c r="Q36" s="106" t="s">
        <v>43</v>
      </c>
      <c r="R36" s="119"/>
      <c r="S36" s="146">
        <f>$E$56*EXP($E$57*$U$33)</f>
        <v>6.17272523563691</v>
      </c>
      <c r="T36" s="105" t="s">
        <v>75</v>
      </c>
      <c r="U36" s="1"/>
      <c r="V36"/>
    </row>
    <row r="37" spans="4:22" s="103" customFormat="1" ht="13.5" customHeight="1">
      <c r="D37" s="104"/>
      <c r="E37" s="104"/>
      <c r="F37" s="104"/>
      <c r="G37" s="111"/>
      <c r="H37" s="111"/>
      <c r="I37" s="111"/>
      <c r="J37" s="134"/>
      <c r="K37" s="105" t="s">
        <v>86</v>
      </c>
      <c r="L37" s="106"/>
      <c r="M37" s="106"/>
      <c r="N37" s="106" t="s">
        <v>45</v>
      </c>
      <c r="O37" s="107"/>
      <c r="P37" s="109">
        <v>365</v>
      </c>
      <c r="Q37" s="106" t="s">
        <v>43</v>
      </c>
      <c r="R37" s="66" t="s">
        <v>91</v>
      </c>
      <c r="S37" s="146">
        <f>$S$35*$P$37/($B$59+$B$60*$P$37)</f>
        <v>6.208053602581657</v>
      </c>
      <c r="T37" s="123" t="s">
        <v>75</v>
      </c>
      <c r="U37" s="35"/>
      <c r="V37"/>
    </row>
    <row r="38" spans="4:22" s="103" customFormat="1" ht="13.5" customHeight="1">
      <c r="D38" s="104"/>
      <c r="E38" s="104"/>
      <c r="F38" s="104"/>
      <c r="G38" s="111"/>
      <c r="H38" s="111"/>
      <c r="I38" s="111"/>
      <c r="J38" s="136"/>
      <c r="K38" s="126" t="s">
        <v>47</v>
      </c>
      <c r="L38" s="127"/>
      <c r="M38" s="127"/>
      <c r="N38" s="36">
        <v>1</v>
      </c>
      <c r="O38" s="5" t="s">
        <v>85</v>
      </c>
      <c r="P38" s="5"/>
      <c r="Q38" s="5"/>
      <c r="R38" s="5"/>
      <c r="S38" s="5"/>
      <c r="T38" s="5"/>
      <c r="U38" s="128"/>
      <c r="V38"/>
    </row>
    <row r="39" spans="10:22" s="103" customFormat="1" ht="13.5" customHeight="1">
      <c r="J39" s="137"/>
      <c r="K39" s="147" t="s">
        <v>90</v>
      </c>
      <c r="L39" s="129"/>
      <c r="M39" s="129"/>
      <c r="N39" s="129"/>
      <c r="O39" s="129"/>
      <c r="P39" s="129"/>
      <c r="Q39" s="130"/>
      <c r="R39" s="131" t="s">
        <v>84</v>
      </c>
      <c r="S39" s="145">
        <f>IF(N38=0,S35,IF(D62&lt;=40,S35*1.1,S35*(1.5-0.01*D62)))</f>
        <v>3.97761076466578</v>
      </c>
      <c r="T39" s="130" t="s">
        <v>75</v>
      </c>
      <c r="U39" s="132"/>
      <c r="V39"/>
    </row>
    <row r="40" ht="17.25" customHeight="1">
      <c r="A40" t="s">
        <v>32</v>
      </c>
    </row>
    <row r="41" spans="4:17" ht="13.5">
      <c r="D41" s="12" t="s">
        <v>31</v>
      </c>
      <c r="E41" s="158">
        <v>38710</v>
      </c>
      <c r="F41" s="159"/>
      <c r="G41" s="160"/>
      <c r="I41" t="s">
        <v>41</v>
      </c>
      <c r="L41" s="36">
        <f>COUNT(B44:C53)</f>
        <v>6</v>
      </c>
      <c r="M41" t="s">
        <v>42</v>
      </c>
      <c r="N41" s="152" t="s">
        <v>61</v>
      </c>
      <c r="O41" s="153"/>
      <c r="P41" s="154"/>
      <c r="Q41" s="65">
        <v>-13.3</v>
      </c>
    </row>
    <row r="42" spans="1:20" ht="15.75">
      <c r="A42" s="155" t="s">
        <v>64</v>
      </c>
      <c r="B42" s="155" t="s">
        <v>33</v>
      </c>
      <c r="C42" s="155"/>
      <c r="D42" s="155" t="s">
        <v>48</v>
      </c>
      <c r="E42" s="155"/>
      <c r="F42" s="155" t="s">
        <v>37</v>
      </c>
      <c r="G42" s="155"/>
      <c r="H42" s="155"/>
      <c r="I42" s="155"/>
      <c r="J42" s="155" t="s">
        <v>34</v>
      </c>
      <c r="K42" s="155"/>
      <c r="L42" s="155"/>
      <c r="M42" s="155"/>
      <c r="N42" s="161" t="s">
        <v>0</v>
      </c>
      <c r="O42" s="162"/>
      <c r="P42" s="163"/>
      <c r="Q42" s="164" t="s">
        <v>38</v>
      </c>
      <c r="R42" s="164"/>
      <c r="S42" s="164"/>
      <c r="T42" s="164"/>
    </row>
    <row r="43" spans="1:20" ht="13.5">
      <c r="A43" s="155"/>
      <c r="B43" s="155"/>
      <c r="C43" s="155"/>
      <c r="D43" s="155"/>
      <c r="E43" s="155"/>
      <c r="F43" s="17">
        <v>1</v>
      </c>
      <c r="G43" s="18">
        <v>2</v>
      </c>
      <c r="H43" s="18">
        <v>3</v>
      </c>
      <c r="I43" s="19" t="s">
        <v>13</v>
      </c>
      <c r="J43" s="17">
        <v>1</v>
      </c>
      <c r="K43" s="18">
        <v>2</v>
      </c>
      <c r="L43" s="18">
        <v>3</v>
      </c>
      <c r="M43" s="19" t="s">
        <v>13</v>
      </c>
      <c r="N43" s="17">
        <v>1</v>
      </c>
      <c r="O43" s="18">
        <v>2</v>
      </c>
      <c r="P43" s="18">
        <v>3</v>
      </c>
      <c r="Q43" s="17">
        <v>1</v>
      </c>
      <c r="R43" s="18">
        <v>2</v>
      </c>
      <c r="S43" s="18">
        <v>3</v>
      </c>
      <c r="T43" s="19" t="s">
        <v>13</v>
      </c>
    </row>
    <row r="44" spans="1:20" ht="13.5">
      <c r="A44" s="21">
        <v>1</v>
      </c>
      <c r="B44" s="165">
        <v>38722</v>
      </c>
      <c r="C44" s="165"/>
      <c r="D44" s="166">
        <f aca="true" t="shared" si="5" ref="D44:D53">+B44-$E$41</f>
        <v>12</v>
      </c>
      <c r="E44" s="166"/>
      <c r="F44" s="38">
        <v>200</v>
      </c>
      <c r="G44" s="39"/>
      <c r="H44" s="39"/>
      <c r="I44" s="30">
        <f>IF(H44=0,IF(G44=0,F44,AVERAGE(F44,G44)),AVERAGE(F44:H44))</f>
        <v>200</v>
      </c>
      <c r="J44" s="44">
        <v>13.3</v>
      </c>
      <c r="K44" s="45"/>
      <c r="L44" s="45"/>
      <c r="M44" s="30">
        <f>IF(L44=0,IF(K44=0,J44,AVERAGE(J44,K44)),AVERAGE(J44:L44))</f>
        <v>13.3</v>
      </c>
      <c r="N44" s="50">
        <v>64.3</v>
      </c>
      <c r="O44" s="51"/>
      <c r="P44" s="90"/>
      <c r="Q44" s="61">
        <f>IF(F44="","",F44/(N44+$Q$41)*1000)</f>
        <v>3921.5686274509803</v>
      </c>
      <c r="R44" s="73">
        <f aca="true" t="shared" si="6" ref="R44:S53">IF(G44="","",G44/(O44+$Q$41)*1000)</f>
      </c>
      <c r="S44" s="62">
        <f t="shared" si="6"/>
      </c>
      <c r="T44" s="68">
        <f>IF(S44=0,IF(R44=0,Q44,AVERAGE(Q44,R44)),AVERAGE(Q44:S44))</f>
        <v>3921.5686274509803</v>
      </c>
    </row>
    <row r="45" spans="1:20" ht="13.5">
      <c r="A45" s="22">
        <v>2</v>
      </c>
      <c r="B45" s="177">
        <v>38726</v>
      </c>
      <c r="C45" s="177"/>
      <c r="D45" s="169">
        <f t="shared" si="5"/>
        <v>16</v>
      </c>
      <c r="E45" s="169"/>
      <c r="F45" s="40">
        <v>200</v>
      </c>
      <c r="G45" s="41"/>
      <c r="H45" s="41"/>
      <c r="I45" s="30">
        <f aca="true" t="shared" si="7" ref="I45:I53">IF(H45=0,IF(G45=0,F45,AVERAGE(F45,G45)),AVERAGE(F45:H45))</f>
        <v>200</v>
      </c>
      <c r="J45" s="46">
        <v>20.8</v>
      </c>
      <c r="K45" s="47"/>
      <c r="L45" s="47"/>
      <c r="M45" s="30">
        <f aca="true" t="shared" si="8" ref="M45:M53">IF(L45=0,IF(K45=0,J45,AVERAGE(J45,K45)),AVERAGE(J45:L45))</f>
        <v>20.8</v>
      </c>
      <c r="N45" s="52">
        <v>60.2</v>
      </c>
      <c r="O45" s="53"/>
      <c r="P45" s="84"/>
      <c r="Q45" s="14">
        <f aca="true" t="shared" si="9" ref="Q45:Q53">IF(F45="","",F45/(N45+$Q$41)*1000)</f>
        <v>4264.392324093816</v>
      </c>
      <c r="R45" s="74">
        <f t="shared" si="6"/>
      </c>
      <c r="S45" s="15">
        <f t="shared" si="6"/>
      </c>
      <c r="T45" s="69">
        <f aca="true" t="shared" si="10" ref="T45:T53">IF(S45=0,IF(R45=0,Q45,AVERAGE(Q45,R45)),AVERAGE(Q45:S45))</f>
        <v>4264.392324093816</v>
      </c>
    </row>
    <row r="46" spans="1:20" ht="13.5">
      <c r="A46" s="22">
        <v>3</v>
      </c>
      <c r="B46" s="177">
        <v>38735</v>
      </c>
      <c r="C46" s="177"/>
      <c r="D46" s="169">
        <f t="shared" si="5"/>
        <v>25</v>
      </c>
      <c r="E46" s="169"/>
      <c r="F46" s="40">
        <v>200</v>
      </c>
      <c r="G46" s="41"/>
      <c r="H46" s="41"/>
      <c r="I46" s="30">
        <f t="shared" si="7"/>
        <v>200</v>
      </c>
      <c r="J46" s="46">
        <v>31.1</v>
      </c>
      <c r="K46" s="47"/>
      <c r="L46" s="47"/>
      <c r="M46" s="30">
        <f t="shared" si="8"/>
        <v>31.1</v>
      </c>
      <c r="N46" s="52">
        <v>58</v>
      </c>
      <c r="O46" s="53"/>
      <c r="P46" s="84"/>
      <c r="Q46" s="86">
        <f t="shared" si="9"/>
        <v>4474.27293064877</v>
      </c>
      <c r="R46" s="75">
        <f t="shared" si="6"/>
      </c>
      <c r="S46" s="76">
        <f t="shared" si="6"/>
      </c>
      <c r="T46" s="70">
        <f t="shared" si="10"/>
        <v>4474.27293064877</v>
      </c>
    </row>
    <row r="47" spans="1:20" ht="13.5">
      <c r="A47" s="22">
        <v>4</v>
      </c>
      <c r="B47" s="167">
        <v>38747</v>
      </c>
      <c r="C47" s="170"/>
      <c r="D47" s="169">
        <f t="shared" si="5"/>
        <v>37</v>
      </c>
      <c r="E47" s="169"/>
      <c r="F47" s="40">
        <v>200</v>
      </c>
      <c r="G47" s="41"/>
      <c r="H47" s="41"/>
      <c r="I47" s="30">
        <f t="shared" si="7"/>
        <v>200</v>
      </c>
      <c r="J47" s="46">
        <v>34.7</v>
      </c>
      <c r="K47" s="47"/>
      <c r="L47" s="47"/>
      <c r="M47" s="30">
        <f t="shared" si="8"/>
        <v>34.7</v>
      </c>
      <c r="N47" s="52">
        <v>57.7</v>
      </c>
      <c r="O47" s="53"/>
      <c r="P47" s="84"/>
      <c r="Q47" s="87">
        <f t="shared" si="9"/>
        <v>4504.5045045045035</v>
      </c>
      <c r="R47" s="77">
        <f t="shared" si="6"/>
      </c>
      <c r="S47" s="78">
        <f t="shared" si="6"/>
      </c>
      <c r="T47" s="71">
        <f t="shared" si="10"/>
        <v>4504.5045045045035</v>
      </c>
    </row>
    <row r="48" spans="1:20" ht="13.5">
      <c r="A48" s="22">
        <v>5</v>
      </c>
      <c r="B48" s="167">
        <v>38806</v>
      </c>
      <c r="C48" s="170"/>
      <c r="D48" s="169">
        <f t="shared" si="5"/>
        <v>96</v>
      </c>
      <c r="E48" s="169"/>
      <c r="F48" s="40">
        <v>200</v>
      </c>
      <c r="G48" s="41"/>
      <c r="H48" s="41"/>
      <c r="I48" s="30">
        <f t="shared" si="7"/>
        <v>200</v>
      </c>
      <c r="J48" s="46">
        <v>42.3</v>
      </c>
      <c r="K48" s="47"/>
      <c r="L48" s="47"/>
      <c r="M48" s="30">
        <f t="shared" si="8"/>
        <v>42.3</v>
      </c>
      <c r="N48" s="52">
        <v>56.5</v>
      </c>
      <c r="O48" s="53"/>
      <c r="P48" s="84"/>
      <c r="Q48" s="88">
        <f t="shared" si="9"/>
        <v>4629.62962962963</v>
      </c>
      <c r="R48" s="15">
        <f t="shared" si="6"/>
      </c>
      <c r="S48" s="74">
        <f t="shared" si="6"/>
      </c>
      <c r="T48" s="69">
        <f t="shared" si="10"/>
        <v>4629.62962962963</v>
      </c>
    </row>
    <row r="49" spans="1:20" ht="13.5">
      <c r="A49" s="22">
        <v>6</v>
      </c>
      <c r="B49" s="167">
        <v>38902</v>
      </c>
      <c r="C49" s="170"/>
      <c r="D49" s="169">
        <f t="shared" si="5"/>
        <v>192</v>
      </c>
      <c r="E49" s="169"/>
      <c r="F49" s="40">
        <v>200</v>
      </c>
      <c r="G49" s="41"/>
      <c r="H49" s="41"/>
      <c r="I49" s="30">
        <f t="shared" si="7"/>
        <v>200</v>
      </c>
      <c r="J49" s="46">
        <v>46</v>
      </c>
      <c r="K49" s="47"/>
      <c r="L49" s="47"/>
      <c r="M49" s="30">
        <f t="shared" si="8"/>
        <v>46</v>
      </c>
      <c r="N49" s="52">
        <v>55.9</v>
      </c>
      <c r="O49" s="53"/>
      <c r="P49" s="84"/>
      <c r="Q49" s="81">
        <f t="shared" si="9"/>
        <v>4694.835680751174</v>
      </c>
      <c r="R49" s="79">
        <f t="shared" si="6"/>
      </c>
      <c r="S49" s="80">
        <f t="shared" si="6"/>
      </c>
      <c r="T49" s="69">
        <f t="shared" si="10"/>
        <v>4694.835680751174</v>
      </c>
    </row>
    <row r="50" spans="1:20" ht="13.5">
      <c r="A50" s="22">
        <v>7</v>
      </c>
      <c r="B50" s="167"/>
      <c r="C50" s="170"/>
      <c r="D50" s="169">
        <f t="shared" si="5"/>
        <v>-38710</v>
      </c>
      <c r="E50" s="169"/>
      <c r="F50" s="40"/>
      <c r="G50" s="41"/>
      <c r="H50" s="41"/>
      <c r="I50" s="30">
        <f t="shared" si="7"/>
        <v>0</v>
      </c>
      <c r="J50" s="46"/>
      <c r="K50" s="47"/>
      <c r="L50" s="47"/>
      <c r="M50" s="30">
        <f t="shared" si="8"/>
        <v>0</v>
      </c>
      <c r="N50" s="52"/>
      <c r="O50" s="53"/>
      <c r="P50" s="53"/>
      <c r="Q50" s="81">
        <f t="shared" si="9"/>
      </c>
      <c r="R50" s="79">
        <f t="shared" si="6"/>
      </c>
      <c r="S50" s="80">
        <f t="shared" si="6"/>
      </c>
      <c r="T50" s="69" t="e">
        <f t="shared" si="10"/>
        <v>#DIV/0!</v>
      </c>
    </row>
    <row r="51" spans="1:20" ht="13.5">
      <c r="A51" s="22">
        <v>8</v>
      </c>
      <c r="B51" s="171"/>
      <c r="C51" s="170"/>
      <c r="D51" s="169">
        <f t="shared" si="5"/>
        <v>-38710</v>
      </c>
      <c r="E51" s="169"/>
      <c r="F51" s="40"/>
      <c r="G51" s="41"/>
      <c r="H51" s="41"/>
      <c r="I51" s="30">
        <f t="shared" si="7"/>
        <v>0</v>
      </c>
      <c r="J51" s="46"/>
      <c r="K51" s="47"/>
      <c r="L51" s="47"/>
      <c r="M51" s="30">
        <f t="shared" si="8"/>
        <v>0</v>
      </c>
      <c r="N51" s="52"/>
      <c r="O51" s="53"/>
      <c r="P51" s="84"/>
      <c r="Q51" s="81">
        <f t="shared" si="9"/>
      </c>
      <c r="R51" s="79">
        <f t="shared" si="6"/>
      </c>
      <c r="S51" s="80">
        <f t="shared" si="6"/>
      </c>
      <c r="T51" s="69" t="e">
        <f t="shared" si="10"/>
        <v>#DIV/0!</v>
      </c>
    </row>
    <row r="52" spans="1:20" ht="13.5">
      <c r="A52" s="22">
        <v>9</v>
      </c>
      <c r="B52" s="171"/>
      <c r="C52" s="170"/>
      <c r="D52" s="169">
        <f t="shared" si="5"/>
        <v>-38710</v>
      </c>
      <c r="E52" s="169"/>
      <c r="F52" s="40"/>
      <c r="G52" s="41"/>
      <c r="H52" s="41"/>
      <c r="I52" s="30">
        <f t="shared" si="7"/>
        <v>0</v>
      </c>
      <c r="J52" s="46"/>
      <c r="K52" s="47"/>
      <c r="L52" s="47"/>
      <c r="M52" s="30">
        <f t="shared" si="8"/>
        <v>0</v>
      </c>
      <c r="N52" s="52"/>
      <c r="O52" s="53"/>
      <c r="P52" s="84"/>
      <c r="Q52" s="81">
        <f t="shared" si="9"/>
      </c>
      <c r="R52" s="79">
        <f t="shared" si="6"/>
      </c>
      <c r="S52" s="15">
        <f t="shared" si="6"/>
      </c>
      <c r="T52" s="69" t="e">
        <f t="shared" si="10"/>
        <v>#DIV/0!</v>
      </c>
    </row>
    <row r="53" spans="1:20" ht="13.5">
      <c r="A53" s="23">
        <v>10</v>
      </c>
      <c r="B53" s="174"/>
      <c r="C53" s="175"/>
      <c r="D53" s="176">
        <f t="shared" si="5"/>
        <v>-38710</v>
      </c>
      <c r="E53" s="176"/>
      <c r="F53" s="42"/>
      <c r="G53" s="43"/>
      <c r="H53" s="43"/>
      <c r="I53" s="31">
        <f t="shared" si="7"/>
        <v>0</v>
      </c>
      <c r="J53" s="48"/>
      <c r="K53" s="49"/>
      <c r="L53" s="49"/>
      <c r="M53" s="31">
        <f t="shared" si="8"/>
        <v>0</v>
      </c>
      <c r="N53" s="54"/>
      <c r="O53" s="55"/>
      <c r="P53" s="85"/>
      <c r="Q53" s="16">
        <f t="shared" si="9"/>
      </c>
      <c r="R53" s="82">
        <f t="shared" si="6"/>
      </c>
      <c r="S53" s="83">
        <f t="shared" si="6"/>
      </c>
      <c r="T53" s="72" t="e">
        <f t="shared" si="10"/>
        <v>#DIV/0!</v>
      </c>
    </row>
    <row r="54" spans="2:4" ht="13.5" customHeight="1">
      <c r="B54" s="32"/>
      <c r="C54" s="32"/>
      <c r="D54" s="32"/>
    </row>
    <row r="55" spans="1:4" ht="13.5">
      <c r="A55" t="s">
        <v>29</v>
      </c>
      <c r="D55" t="s">
        <v>30</v>
      </c>
    </row>
    <row r="56" spans="1:6" ht="13.5">
      <c r="A56" s="13" t="s">
        <v>77</v>
      </c>
      <c r="B56" s="172">
        <v>2.286070254242407</v>
      </c>
      <c r="C56" s="172"/>
      <c r="D56" s="13" t="s">
        <v>78</v>
      </c>
      <c r="E56" s="172">
        <v>0.019465863462262693</v>
      </c>
      <c r="F56" s="172"/>
    </row>
    <row r="57" spans="1:6" ht="13.5">
      <c r="A57" s="13" t="s">
        <v>79</v>
      </c>
      <c r="B57" s="172">
        <v>52.8434716131173</v>
      </c>
      <c r="C57" s="172"/>
      <c r="D57" s="13" t="s">
        <v>80</v>
      </c>
      <c r="E57" s="172">
        <v>0.0016540569186853681</v>
      </c>
      <c r="F57" s="172"/>
    </row>
    <row r="58" spans="1:17" ht="13.5" customHeight="1">
      <c r="A58" s="33" t="s">
        <v>81</v>
      </c>
      <c r="B58" s="172">
        <v>0.8485696313532843</v>
      </c>
      <c r="C58" s="172"/>
      <c r="D58" s="33" t="s">
        <v>81</v>
      </c>
      <c r="E58" s="172">
        <v>0.9410087146478948</v>
      </c>
      <c r="F58" s="17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33" t="s">
        <v>82</v>
      </c>
      <c r="B59" s="173">
        <f>D62/B56</f>
        <v>12.662162288282765</v>
      </c>
      <c r="C59" s="173"/>
      <c r="I59" s="24"/>
      <c r="J59" s="2"/>
      <c r="K59" s="2"/>
      <c r="L59" s="2"/>
      <c r="M59" s="2"/>
      <c r="N59" s="2"/>
      <c r="O59" s="2"/>
      <c r="P59" s="2"/>
      <c r="Q59" s="2"/>
    </row>
    <row r="60" spans="1:17" ht="13.5">
      <c r="A60" s="33" t="s">
        <v>83</v>
      </c>
      <c r="B60" s="173">
        <f>D62/B57</f>
        <v>0.5477799182756155</v>
      </c>
      <c r="C60" s="173"/>
      <c r="I60" s="2"/>
      <c r="J60" s="2"/>
      <c r="K60" s="2"/>
      <c r="L60" s="2"/>
      <c r="M60" s="2"/>
      <c r="N60" s="2"/>
      <c r="O60" s="2"/>
      <c r="P60" s="2"/>
      <c r="Q60" s="2"/>
    </row>
    <row r="61" spans="9:17" ht="13.5">
      <c r="I61" s="2"/>
      <c r="J61" s="25"/>
      <c r="K61" s="2"/>
      <c r="L61" s="20"/>
      <c r="M61" s="20"/>
      <c r="N61" s="2"/>
      <c r="O61" s="2"/>
      <c r="P61" s="2"/>
      <c r="Q61" s="2"/>
    </row>
    <row r="62" spans="3:5" ht="13.5" customHeight="1">
      <c r="C62" s="32" t="s">
        <v>84</v>
      </c>
      <c r="D62" s="120">
        <f>28/(1/B56+28/B57)</f>
        <v>28.9465925616332</v>
      </c>
      <c r="E62" t="s">
        <v>75</v>
      </c>
    </row>
    <row r="63" spans="3:17" ht="13.5">
      <c r="C63" s="67"/>
      <c r="D63" s="67"/>
      <c r="E63" s="67"/>
      <c r="F63" s="67"/>
      <c r="G63" s="67"/>
      <c r="H63" s="67"/>
      <c r="I63" s="67"/>
      <c r="J63" s="67"/>
      <c r="K63" s="67"/>
      <c r="L63" s="2"/>
      <c r="M63" s="2"/>
      <c r="N63" s="2"/>
      <c r="O63" s="2"/>
      <c r="P63" s="2"/>
      <c r="Q63" s="2"/>
    </row>
    <row r="64" spans="12:17" ht="13.5">
      <c r="L64" s="2"/>
      <c r="M64" s="2"/>
      <c r="N64" s="2"/>
      <c r="O64" s="2"/>
      <c r="P64" s="2"/>
      <c r="Q64" s="2"/>
    </row>
    <row r="65" spans="12:17" ht="13.5">
      <c r="L65" s="2"/>
      <c r="M65" s="2"/>
      <c r="N65" s="2"/>
      <c r="O65" s="2"/>
      <c r="P65" s="2"/>
      <c r="Q65" s="2"/>
    </row>
    <row r="66" spans="12:17" ht="13.5">
      <c r="L66" s="2"/>
      <c r="M66" s="2"/>
      <c r="N66" s="2"/>
      <c r="O66" s="2"/>
      <c r="P66" s="2"/>
      <c r="Q66" s="2"/>
    </row>
    <row r="67" spans="9:17" ht="13.5">
      <c r="I67" s="2"/>
      <c r="J67" s="2"/>
      <c r="K67" s="2"/>
      <c r="L67" s="2"/>
      <c r="M67" s="2"/>
      <c r="N67" s="2"/>
      <c r="O67" s="2"/>
      <c r="P67" s="2"/>
      <c r="Q67" s="2"/>
    </row>
    <row r="68" spans="9:17" ht="14.25" customHeight="1">
      <c r="I68" s="2"/>
      <c r="J68" s="2"/>
      <c r="K68" s="2"/>
      <c r="L68" s="2"/>
      <c r="M68" s="2"/>
      <c r="N68" s="2"/>
      <c r="O68" s="2"/>
      <c r="P68" s="2"/>
      <c r="Q68" s="2"/>
    </row>
    <row r="69" spans="9:17" ht="14.25" customHeight="1"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/>
    <row r="71" spans="10:14" ht="14.25" customHeight="1">
      <c r="J71" t="s">
        <v>9</v>
      </c>
      <c r="K71" t="s">
        <v>62</v>
      </c>
      <c r="M71" t="s">
        <v>9</v>
      </c>
      <c r="N71" t="s">
        <v>63</v>
      </c>
    </row>
    <row r="72" spans="10:14" ht="14.25" customHeight="1">
      <c r="J72">
        <v>2000</v>
      </c>
      <c r="K72">
        <f aca="true" t="shared" si="11" ref="K72:K91">E$56*EXP(E$57*J72)</f>
        <v>0.53207059461628</v>
      </c>
      <c r="M72" s="124">
        <f>U33</f>
        <v>3481.8834260531303</v>
      </c>
      <c r="N72" s="125">
        <v>0</v>
      </c>
    </row>
    <row r="73" spans="10:14" ht="14.25" customHeight="1">
      <c r="J73">
        <v>2500</v>
      </c>
      <c r="K73">
        <f t="shared" si="11"/>
        <v>1.2165869515987564</v>
      </c>
      <c r="M73" s="124">
        <f>U33</f>
        <v>3481.8834260531303</v>
      </c>
      <c r="N73" s="125">
        <v>80</v>
      </c>
    </row>
    <row r="74" spans="10:14" ht="13.5">
      <c r="J74">
        <v>3000</v>
      </c>
      <c r="K74">
        <f t="shared" si="11"/>
        <v>2.7817432983075596</v>
      </c>
      <c r="N74" s="125"/>
    </row>
    <row r="75" spans="10:14" ht="13.5">
      <c r="J75">
        <v>3500</v>
      </c>
      <c r="K75">
        <f t="shared" si="11"/>
        <v>6.360495456169523</v>
      </c>
      <c r="M75">
        <v>0</v>
      </c>
      <c r="N75" s="125">
        <f>S36</f>
        <v>6.17272523563691</v>
      </c>
    </row>
    <row r="76" spans="10:14" ht="13.5">
      <c r="J76">
        <v>4000</v>
      </c>
      <c r="K76">
        <f t="shared" si="11"/>
        <v>14.543362959683202</v>
      </c>
      <c r="M76" s="124">
        <f>U33</f>
        <v>3481.8834260531303</v>
      </c>
      <c r="N76" s="125">
        <f>S36</f>
        <v>6.17272523563691</v>
      </c>
    </row>
    <row r="77" spans="10:11" ht="13.5">
      <c r="J77">
        <v>4100</v>
      </c>
      <c r="K77">
        <f t="shared" si="11"/>
        <v>17.159302175036075</v>
      </c>
    </row>
    <row r="78" spans="10:11" ht="13.5">
      <c r="J78">
        <v>4200</v>
      </c>
      <c r="K78">
        <f t="shared" si="11"/>
        <v>20.24577478747127</v>
      </c>
    </row>
    <row r="79" spans="10:11" ht="13.5">
      <c r="J79">
        <v>4300</v>
      </c>
      <c r="K79">
        <f t="shared" si="11"/>
        <v>23.88741643243112</v>
      </c>
    </row>
    <row r="80" spans="10:11" ht="13.5">
      <c r="J80">
        <v>4400</v>
      </c>
      <c r="K80">
        <f t="shared" si="11"/>
        <v>28.184086299798736</v>
      </c>
    </row>
    <row r="81" spans="10:11" ht="13.5">
      <c r="J81">
        <v>4500</v>
      </c>
      <c r="K81">
        <f t="shared" si="11"/>
        <v>33.253605420302016</v>
      </c>
    </row>
    <row r="82" spans="10:11" ht="13.5">
      <c r="J82">
        <v>4600</v>
      </c>
      <c r="K82">
        <f t="shared" si="11"/>
        <v>39.23498749210958</v>
      </c>
    </row>
    <row r="83" spans="10:11" ht="13.5">
      <c r="J83">
        <v>4700</v>
      </c>
      <c r="K83">
        <f t="shared" si="11"/>
        <v>46.29225084165364</v>
      </c>
    </row>
    <row r="84" spans="10:11" ht="13.5">
      <c r="J84">
        <v>4800</v>
      </c>
      <c r="K84">
        <f t="shared" si="11"/>
        <v>54.61891604827324</v>
      </c>
    </row>
    <row r="85" spans="10:11" ht="13.5">
      <c r="J85">
        <v>4900</v>
      </c>
      <c r="K85">
        <f t="shared" si="11"/>
        <v>64.44331256418442</v>
      </c>
    </row>
    <row r="86" spans="10:11" ht="13.5">
      <c r="J86">
        <v>5000</v>
      </c>
      <c r="K86">
        <f t="shared" si="11"/>
        <v>76.03483984513223</v>
      </c>
    </row>
    <row r="87" spans="10:11" ht="13.5">
      <c r="J87">
        <v>5100</v>
      </c>
      <c r="K87">
        <f t="shared" si="11"/>
        <v>89.7113546811678</v>
      </c>
    </row>
    <row r="88" spans="10:11" ht="13.5">
      <c r="J88">
        <v>5200</v>
      </c>
      <c r="K88">
        <f t="shared" si="11"/>
        <v>105.8478872990686</v>
      </c>
    </row>
    <row r="89" spans="10:11" ht="13.5">
      <c r="J89">
        <v>5300</v>
      </c>
      <c r="K89">
        <f t="shared" si="11"/>
        <v>124.88692524479521</v>
      </c>
    </row>
    <row r="90" spans="10:11" ht="13.5">
      <c r="J90">
        <v>5400</v>
      </c>
      <c r="K90">
        <f t="shared" si="11"/>
        <v>147.35054704522508</v>
      </c>
    </row>
    <row r="91" spans="10:11" ht="13.5">
      <c r="J91">
        <v>5500</v>
      </c>
      <c r="K91">
        <f t="shared" si="11"/>
        <v>173.85473837207772</v>
      </c>
    </row>
    <row r="96" spans="1:22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3.5">
      <c r="A97" s="56">
        <v>1</v>
      </c>
      <c r="B97" s="56">
        <v>2</v>
      </c>
      <c r="C97" s="56">
        <v>3</v>
      </c>
      <c r="D97" s="56">
        <v>4</v>
      </c>
      <c r="E97" s="56">
        <v>5</v>
      </c>
      <c r="F97" s="56">
        <v>6</v>
      </c>
      <c r="G97" s="56">
        <v>7</v>
      </c>
      <c r="H97" s="56">
        <v>8</v>
      </c>
      <c r="I97" s="56">
        <v>9</v>
      </c>
      <c r="J97" s="56">
        <v>10</v>
      </c>
      <c r="K97" s="56">
        <v>11</v>
      </c>
      <c r="L97" s="56">
        <v>12</v>
      </c>
      <c r="M97" s="56">
        <v>13</v>
      </c>
      <c r="N97" s="56">
        <v>14</v>
      </c>
      <c r="O97" s="56">
        <v>15</v>
      </c>
      <c r="P97" s="56">
        <v>16</v>
      </c>
      <c r="Q97" s="56">
        <v>17</v>
      </c>
      <c r="R97" s="56">
        <v>18</v>
      </c>
      <c r="S97" s="56">
        <v>19</v>
      </c>
      <c r="T97" s="56">
        <v>20</v>
      </c>
      <c r="U97" s="56"/>
      <c r="V97" s="56"/>
    </row>
    <row r="98" spans="1:40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 t="s">
        <v>71</v>
      </c>
      <c r="T100" s="56" t="s">
        <v>72</v>
      </c>
      <c r="U100" s="56"/>
      <c r="V100" s="5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>
        <v>43.259999971836805</v>
      </c>
      <c r="T101">
        <v>2547.493356917902</v>
      </c>
      <c r="U101" s="56"/>
      <c r="V101" s="5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>
        <v>69.009999955073</v>
      </c>
      <c r="T102">
        <v>2630.89647675506</v>
      </c>
      <c r="U102" s="56"/>
      <c r="V102" s="56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ht="12.75" customHeight="1">
      <c r="A103" t="s">
        <v>49</v>
      </c>
      <c r="D103">
        <v>3104.109576839005</v>
      </c>
      <c r="E103" t="s">
        <v>50</v>
      </c>
      <c r="H103" s="3">
        <v>8</v>
      </c>
      <c r="L103" s="56"/>
      <c r="M103" s="56"/>
      <c r="N103" s="56"/>
      <c r="O103" s="56"/>
      <c r="P103" s="56"/>
      <c r="Q103" s="56"/>
      <c r="R103" s="56"/>
      <c r="S103">
        <v>94.75999993830919</v>
      </c>
      <c r="T103">
        <v>2708.337442999215</v>
      </c>
      <c r="U103" s="56"/>
      <c r="V103" s="56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ht="12.75" customHeight="1">
      <c r="A104" t="s">
        <v>51</v>
      </c>
      <c r="D104">
        <v>3088.654570080415</v>
      </c>
      <c r="E104" t="s">
        <v>52</v>
      </c>
      <c r="L104" s="56"/>
      <c r="M104" s="56"/>
      <c r="N104" s="56"/>
      <c r="O104" s="56"/>
      <c r="P104" s="56"/>
      <c r="Q104" s="56"/>
      <c r="R104" s="56"/>
      <c r="S104">
        <v>120.50999992154539</v>
      </c>
      <c r="T104">
        <v>2782.6554832218626</v>
      </c>
      <c r="U104" s="56"/>
      <c r="V104" s="56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ht="12.75" customHeight="1">
      <c r="A105" t="s">
        <v>53</v>
      </c>
      <c r="L105" s="56"/>
      <c r="M105" s="56"/>
      <c r="N105" s="56"/>
      <c r="O105" s="56"/>
      <c r="P105" s="56"/>
      <c r="Q105" s="56"/>
      <c r="R105" s="56"/>
      <c r="S105">
        <v>146.25999990478158</v>
      </c>
      <c r="T105">
        <v>2855.2696771900733</v>
      </c>
      <c r="U105" s="56"/>
      <c r="V105" s="5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ht="12.75" customHeight="1">
      <c r="A106" t="s">
        <v>54</v>
      </c>
      <c r="D106">
        <v>0.010209293499528338</v>
      </c>
      <c r="F106" t="s">
        <v>55</v>
      </c>
      <c r="G106">
        <v>3083.623926124054</v>
      </c>
      <c r="H106" t="s">
        <v>56</v>
      </c>
      <c r="L106" s="56"/>
      <c r="M106" s="56"/>
      <c r="N106" s="56"/>
      <c r="O106" s="56"/>
      <c r="P106" s="56"/>
      <c r="Q106" s="56"/>
      <c r="R106" s="56"/>
      <c r="S106">
        <v>172.00999988801777</v>
      </c>
      <c r="T106">
        <v>2927.0267687317105</v>
      </c>
      <c r="U106" s="56"/>
      <c r="V106" s="5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ht="12.75" customHeight="1">
      <c r="A107" t="s">
        <v>57</v>
      </c>
      <c r="C107">
        <v>229.20753541318015</v>
      </c>
      <c r="D107" t="s">
        <v>58</v>
      </c>
      <c r="F107">
        <v>3085.9639731253906</v>
      </c>
      <c r="G107" t="s">
        <v>59</v>
      </c>
      <c r="H107">
        <v>74.27420974751185</v>
      </c>
      <c r="I107" t="s">
        <v>60</v>
      </c>
      <c r="L107" s="56"/>
      <c r="M107" s="56"/>
      <c r="N107" s="56"/>
      <c r="O107" s="56"/>
      <c r="P107" s="56"/>
      <c r="Q107" s="56"/>
      <c r="R107" s="56"/>
      <c r="S107">
        <v>197.75999987125397</v>
      </c>
      <c r="T107">
        <v>2998.492311509004</v>
      </c>
      <c r="U107" s="56"/>
      <c r="V107" s="5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2:40" ht="12.75" customHeight="1">
      <c r="L108" s="56"/>
      <c r="M108" s="56"/>
      <c r="N108" s="56"/>
      <c r="O108" s="56"/>
      <c r="P108" s="56"/>
      <c r="Q108" s="56"/>
      <c r="R108" s="56"/>
      <c r="S108">
        <v>229.20753541318015</v>
      </c>
      <c r="T108">
        <v>3085.963973125389</v>
      </c>
      <c r="U108" s="56"/>
      <c r="V108" s="5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ht="12.75" customHeight="1">
      <c r="A109" s="56" t="s">
        <v>25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>
        <v>249.25999983772635</v>
      </c>
      <c r="T109">
        <v>3086.16869462009</v>
      </c>
      <c r="U109" s="56"/>
      <c r="V109" s="5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ht="12.75" customHeight="1">
      <c r="A110" s="56" t="s">
        <v>15</v>
      </c>
      <c r="B110" s="56" t="s">
        <v>16</v>
      </c>
      <c r="C110" s="56"/>
      <c r="D110" s="56" t="s">
        <v>28</v>
      </c>
      <c r="E110" s="56"/>
      <c r="F110" s="56" t="s">
        <v>17</v>
      </c>
      <c r="G110" s="56" t="s">
        <v>18</v>
      </c>
      <c r="H110" s="56" t="s">
        <v>26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>
        <v>300</v>
      </c>
      <c r="T110">
        <v>3086.6867141739126</v>
      </c>
      <c r="U110" s="56"/>
      <c r="V110" s="5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2.75" customHeight="1">
      <c r="A111">
        <v>0.42778999999999984</v>
      </c>
      <c r="B111">
        <v>1.647427599999999</v>
      </c>
      <c r="D111">
        <v>17.795270662186415</v>
      </c>
      <c r="F111">
        <v>2480.009765625</v>
      </c>
      <c r="G111">
        <v>0.5535537628387891</v>
      </c>
      <c r="H111">
        <v>5.1351055526705165E-11</v>
      </c>
      <c r="J111" s="56"/>
      <c r="K111" s="56"/>
      <c r="L111" s="56"/>
      <c r="M111" s="56"/>
      <c r="N111" s="56"/>
      <c r="O111" s="56"/>
      <c r="P111" s="56"/>
      <c r="Q111" s="56"/>
      <c r="R111" s="56"/>
      <c r="S111">
        <v>350</v>
      </c>
      <c r="T111">
        <v>3087.197178848889</v>
      </c>
      <c r="U111" s="56"/>
      <c r="V111" s="5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ht="12.75" customHeight="1">
      <c r="A112" s="57" t="s">
        <v>19</v>
      </c>
      <c r="B112" s="57" t="s">
        <v>20</v>
      </c>
      <c r="C112" s="57"/>
      <c r="D112" s="57" t="s">
        <v>21</v>
      </c>
      <c r="E112" s="57"/>
      <c r="F112" s="57" t="s">
        <v>22</v>
      </c>
      <c r="G112" s="57" t="s">
        <v>23</v>
      </c>
      <c r="H112" s="57" t="s">
        <v>24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>
        <v>400</v>
      </c>
      <c r="T112">
        <v>3087.707643523865</v>
      </c>
      <c r="U112" s="56"/>
      <c r="V112" s="5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ht="12.75" customHeight="1">
      <c r="A113" s="58"/>
      <c r="B113" s="58"/>
      <c r="C113" s="58"/>
      <c r="D113" s="58"/>
      <c r="E113" s="58"/>
      <c r="F113" s="58"/>
      <c r="G113" s="59">
        <v>0</v>
      </c>
      <c r="H113" s="59">
        <v>2337.595549218075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>
        <v>450</v>
      </c>
      <c r="T113">
        <v>3088.2181081988415</v>
      </c>
      <c r="U113" s="56"/>
      <c r="V113" s="56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ht="12.75" customHeight="1">
      <c r="A114" s="59">
        <v>43.259999971836805</v>
      </c>
      <c r="B114" s="141">
        <v>1.7700000171316788E-05</v>
      </c>
      <c r="C114" s="139"/>
      <c r="D114" s="141">
        <v>1.5950629466506247E-05</v>
      </c>
      <c r="E114" s="139"/>
      <c r="F114" s="60">
        <v>1.1910941224996139</v>
      </c>
      <c r="G114" s="59">
        <v>5.1937058594598255</v>
      </c>
      <c r="H114" s="59">
        <v>2953.9250555775825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>
        <v>500</v>
      </c>
      <c r="T114">
        <v>3088.728572873818</v>
      </c>
      <c r="U114" s="56"/>
      <c r="V114" s="56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ht="12.75" customHeight="1">
      <c r="A115" s="59">
        <v>69.009999955073</v>
      </c>
      <c r="B115" s="141">
        <v>2.879999919969123E-05</v>
      </c>
      <c r="C115" s="139"/>
      <c r="D115" s="141">
        <v>2.4457828375128007E-05</v>
      </c>
      <c r="E115" s="139"/>
      <c r="F115" s="60">
        <v>1.2466149951290781</v>
      </c>
      <c r="G115" s="59">
        <v>8.510520722641541</v>
      </c>
      <c r="H115" s="59">
        <v>3091.6173618946755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>
        <v>1200</v>
      </c>
      <c r="T115">
        <v>3095.8750783234877</v>
      </c>
      <c r="U115" s="56"/>
      <c r="V115" s="5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ht="12.75" customHeight="1">
      <c r="A116" s="59">
        <v>94.75999993830919</v>
      </c>
      <c r="B116" s="141">
        <v>3.440000000409782E-05</v>
      </c>
      <c r="C116" s="139"/>
      <c r="D116" s="141">
        <v>3.265166038846892E-05</v>
      </c>
      <c r="E116" s="139"/>
      <c r="F116" s="60">
        <v>1.2861610061927473</v>
      </c>
      <c r="G116" s="59">
        <v>11.833082515366257</v>
      </c>
      <c r="H116" s="59">
        <v>3189.6918555240895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U116" s="56"/>
      <c r="V116" s="56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ht="12.75" customHeight="1">
      <c r="A117" s="59">
        <v>120.50999992154539</v>
      </c>
      <c r="B117" s="141">
        <v>4.4600001274375245E-05</v>
      </c>
      <c r="C117" s="139"/>
      <c r="D117" s="141">
        <v>4.062579734078329E-05</v>
      </c>
      <c r="E117" s="139"/>
      <c r="F117" s="60">
        <v>1.317111018178716</v>
      </c>
      <c r="G117" s="59">
        <v>15.158169757174011</v>
      </c>
      <c r="H117" s="59">
        <v>3266.4481874955027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U117" s="56"/>
      <c r="V117" s="56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ht="12.75" customHeight="1">
      <c r="A118" s="59">
        <v>146.25999990478158</v>
      </c>
      <c r="B118" s="141">
        <v>4.940000144415535E-05</v>
      </c>
      <c r="C118" s="139"/>
      <c r="D118" s="141">
        <v>4.8431627681994594E-05</v>
      </c>
      <c r="E118" s="139"/>
      <c r="F118" s="60">
        <v>1.3426492954637719</v>
      </c>
      <c r="G118" s="59">
        <v>18.48464615325805</v>
      </c>
      <c r="H118" s="59">
        <v>3329.78336455968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U118" s="56"/>
      <c r="V118" s="56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ht="12.75" customHeight="1">
      <c r="A119" s="59">
        <v>172.00999988801777</v>
      </c>
      <c r="B119" s="141">
        <v>5.669999882229604E-05</v>
      </c>
      <c r="C119" s="139"/>
      <c r="D119" s="141">
        <v>5.6101542548240645E-05</v>
      </c>
      <c r="E119" s="139"/>
      <c r="F119" s="60">
        <v>1.3644510055067856</v>
      </c>
      <c r="G119" s="59">
        <v>21.811989775644818</v>
      </c>
      <c r="H119" s="59">
        <v>3383.8518183736787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U119" s="56"/>
      <c r="V119" s="56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ht="12.75" customHeight="1">
      <c r="A120" s="59">
        <v>197.75999987125397</v>
      </c>
      <c r="B120" s="141">
        <v>6.629999552387744E-05</v>
      </c>
      <c r="C120" s="139"/>
      <c r="D120" s="141">
        <v>6.365777697928955E-05</v>
      </c>
      <c r="E120" s="139"/>
      <c r="F120" s="60">
        <v>1.3835099415547487</v>
      </c>
      <c r="G120" s="59">
        <v>25.13992102078875</v>
      </c>
      <c r="H120" s="59">
        <v>3431.11816589505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U120" s="56"/>
      <c r="V120" s="5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ht="12.75" customHeight="1">
      <c r="A121" s="59">
        <v>229.20753541318015</v>
      </c>
      <c r="B121" s="141">
        <v>7.427421223837882E-05</v>
      </c>
      <c r="C121" s="139"/>
      <c r="D121" s="141">
        <v>7.275496723369696E-05</v>
      </c>
      <c r="E121" s="139"/>
      <c r="F121" s="60">
        <v>1.40397972391679</v>
      </c>
      <c r="G121" s="59">
        <v>29.20476271638795</v>
      </c>
      <c r="H121" s="59">
        <v>3481.8834260531303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U121" s="56"/>
      <c r="V121" s="5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ht="12.75" customHeight="1">
      <c r="A122" s="59"/>
      <c r="B122" s="141"/>
      <c r="C122" s="139"/>
      <c r="D122" s="144"/>
      <c r="E122" s="140"/>
      <c r="F122" s="60"/>
      <c r="G122" s="59">
        <v>250</v>
      </c>
      <c r="H122" s="59">
        <v>3481.8834260531303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U122" s="56"/>
      <c r="V122" s="5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ht="12.75" customHeight="1">
      <c r="A123" s="59"/>
      <c r="B123" s="141"/>
      <c r="C123" s="139"/>
      <c r="D123" s="141"/>
      <c r="E123" s="139"/>
      <c r="F123" s="60"/>
      <c r="G123" s="59"/>
      <c r="H123" s="59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U123" s="56"/>
      <c r="V123" s="56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ht="12.75" customHeight="1">
      <c r="A124" s="59"/>
      <c r="B124" s="141"/>
      <c r="C124" s="139"/>
      <c r="D124" s="141"/>
      <c r="E124" s="139"/>
      <c r="F124" s="60"/>
      <c r="G124" s="59"/>
      <c r="H124" s="59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U124" s="56"/>
      <c r="V124" s="5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ht="12.75" customHeight="1">
      <c r="A125" s="59"/>
      <c r="B125" s="141"/>
      <c r="C125" s="139"/>
      <c r="D125" s="141"/>
      <c r="E125" s="139"/>
      <c r="F125" s="60"/>
      <c r="G125" s="59"/>
      <c r="H125" s="59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U125" s="56"/>
      <c r="V125" s="5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ht="12.75" customHeight="1">
      <c r="A126" s="59"/>
      <c r="B126" s="141"/>
      <c r="C126" s="139"/>
      <c r="D126" s="141"/>
      <c r="E126" s="139"/>
      <c r="F126" s="60"/>
      <c r="G126" s="59"/>
      <c r="H126" s="59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U126" s="56"/>
      <c r="V126" s="56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ht="12.75" customHeight="1">
      <c r="A127" s="59"/>
      <c r="B127" s="141"/>
      <c r="C127" s="139"/>
      <c r="D127" s="141"/>
      <c r="E127" s="139"/>
      <c r="F127" s="60"/>
      <c r="G127" s="59"/>
      <c r="H127" s="59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U127" s="56"/>
      <c r="V127" s="56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ht="12.75" customHeight="1">
      <c r="A128" s="59"/>
      <c r="B128" s="141"/>
      <c r="C128" s="139"/>
      <c r="D128" s="141"/>
      <c r="E128" s="139"/>
      <c r="F128" s="60"/>
      <c r="G128" s="59"/>
      <c r="H128" s="59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U128" s="56"/>
      <c r="V128" s="5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ht="12.75" customHeight="1">
      <c r="A129" s="59"/>
      <c r="B129" s="141"/>
      <c r="C129" s="139"/>
      <c r="D129" s="141"/>
      <c r="E129" s="139"/>
      <c r="F129" s="60"/>
      <c r="G129" s="59"/>
      <c r="H129" s="59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ht="12.75" customHeight="1">
      <c r="A130" s="57"/>
      <c r="B130" s="57"/>
      <c r="C130" s="57"/>
      <c r="D130" s="57"/>
      <c r="E130" s="142"/>
      <c r="F130" s="57"/>
      <c r="G130" s="57"/>
      <c r="H130" s="57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U130" s="56"/>
      <c r="V130" s="5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18" ht="12.75" customHeight="1">
      <c r="A131" s="1"/>
      <c r="B131" s="1"/>
      <c r="C131" s="1"/>
      <c r="D131" s="1"/>
      <c r="E131" s="143"/>
      <c r="F131" s="1"/>
      <c r="G131" s="1"/>
      <c r="H131" s="1"/>
      <c r="R131" s="37"/>
    </row>
    <row r="132" spans="1:8" ht="12.75" customHeight="1">
      <c r="A132" s="1"/>
      <c r="B132" s="1"/>
      <c r="C132" s="1"/>
      <c r="D132" s="1"/>
      <c r="E132" s="143"/>
      <c r="F132" s="1"/>
      <c r="G132" s="1"/>
      <c r="H132" s="1"/>
    </row>
    <row r="133" spans="1:8" ht="12.75" customHeight="1">
      <c r="A133" s="1"/>
      <c r="B133" s="1"/>
      <c r="C133" s="1"/>
      <c r="D133" s="1"/>
      <c r="E133" s="143"/>
      <c r="F133" s="1"/>
      <c r="G133" s="1"/>
      <c r="H133" s="1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5" ht="13.5">
      <c r="B145" s="34"/>
    </row>
    <row r="146" ht="13.5">
      <c r="B146" s="34"/>
    </row>
    <row r="147" ht="13.5">
      <c r="B147" s="34"/>
    </row>
    <row r="148" ht="13.5">
      <c r="B148" s="34"/>
    </row>
    <row r="149" ht="13.5">
      <c r="B149" s="34"/>
    </row>
    <row r="150" ht="13.5">
      <c r="B150" s="34"/>
    </row>
    <row r="151" ht="13.5">
      <c r="B151" s="34"/>
    </row>
    <row r="152" ht="13.5">
      <c r="B152" s="34"/>
    </row>
    <row r="153" ht="13.5">
      <c r="B153" s="34"/>
    </row>
    <row r="154" ht="13.5">
      <c r="B154" s="34"/>
    </row>
    <row r="170" spans="1:12" ht="13.5">
      <c r="A170" t="s">
        <v>3</v>
      </c>
      <c r="G170" t="s">
        <v>4</v>
      </c>
      <c r="H170" s="10"/>
      <c r="I170" t="s">
        <v>5</v>
      </c>
      <c r="K170" s="11" t="e">
        <f>+(H178*10^-3)/((H170-13.3)*10^-6)</f>
        <v>#DIV/0!</v>
      </c>
      <c r="L170" t="s">
        <v>6</v>
      </c>
    </row>
    <row r="171" spans="1:27" ht="13.5">
      <c r="A171" s="1" t="s">
        <v>7</v>
      </c>
      <c r="B171" s="1">
        <v>10</v>
      </c>
      <c r="C171" s="1"/>
      <c r="D171" s="1">
        <v>20</v>
      </c>
      <c r="E171" s="1"/>
      <c r="F171" s="1">
        <v>30</v>
      </c>
      <c r="G171" s="1">
        <v>40</v>
      </c>
      <c r="H171" s="1">
        <v>50</v>
      </c>
      <c r="I171" s="1">
        <v>60</v>
      </c>
      <c r="J171" s="1">
        <v>70</v>
      </c>
      <c r="K171" s="1">
        <v>80</v>
      </c>
      <c r="L171" s="1">
        <v>90</v>
      </c>
      <c r="M171" s="1">
        <v>100</v>
      </c>
      <c r="N171" s="1">
        <v>110</v>
      </c>
      <c r="O171" s="1">
        <v>120</v>
      </c>
      <c r="P171" s="1">
        <v>130</v>
      </c>
      <c r="Q171" s="1">
        <v>140</v>
      </c>
      <c r="R171" s="1">
        <v>150</v>
      </c>
      <c r="S171" s="1">
        <v>160</v>
      </c>
      <c r="T171" s="1">
        <v>170</v>
      </c>
      <c r="U171" s="1">
        <v>180</v>
      </c>
      <c r="V171" s="1">
        <v>190</v>
      </c>
      <c r="W171" s="1">
        <v>200</v>
      </c>
      <c r="X171" s="1">
        <v>210</v>
      </c>
      <c r="Y171" s="1">
        <v>220</v>
      </c>
      <c r="Z171" s="1">
        <v>230</v>
      </c>
      <c r="AA171" s="1">
        <v>240</v>
      </c>
    </row>
    <row r="172" spans="1:27" ht="13.5">
      <c r="A172" s="1" t="s">
        <v>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3.5">
      <c r="A173" s="1" t="s">
        <v>9</v>
      </c>
      <c r="B173" s="7" t="e">
        <f>+($D$176*10^-3)/((B172-13.3)*10^-6)</f>
        <v>#DIV/0!</v>
      </c>
      <c r="C173" s="7"/>
      <c r="D173" s="7" t="e">
        <f>+($D$176*10^-3)/((D172-13.3)*10^-6)</f>
        <v>#DIV/0!</v>
      </c>
      <c r="E173" s="7"/>
      <c r="F173" s="7" t="e">
        <f aca="true" t="shared" si="12" ref="F173:AA173">+($D$176*10^-3)/((F172-13.3)*10^-6)</f>
        <v>#DIV/0!</v>
      </c>
      <c r="G173" s="7" t="e">
        <f t="shared" si="12"/>
        <v>#DIV/0!</v>
      </c>
      <c r="H173" s="7" t="e">
        <f t="shared" si="12"/>
        <v>#DIV/0!</v>
      </c>
      <c r="I173" s="7" t="e">
        <f t="shared" si="12"/>
        <v>#DIV/0!</v>
      </c>
      <c r="J173" s="7" t="e">
        <f t="shared" si="12"/>
        <v>#DIV/0!</v>
      </c>
      <c r="K173" s="7" t="e">
        <f t="shared" si="12"/>
        <v>#DIV/0!</v>
      </c>
      <c r="L173" s="7" t="e">
        <f t="shared" si="12"/>
        <v>#DIV/0!</v>
      </c>
      <c r="M173" s="7" t="e">
        <f t="shared" si="12"/>
        <v>#DIV/0!</v>
      </c>
      <c r="N173" s="7" t="e">
        <f t="shared" si="12"/>
        <v>#DIV/0!</v>
      </c>
      <c r="O173" s="7" t="e">
        <f t="shared" si="12"/>
        <v>#DIV/0!</v>
      </c>
      <c r="P173" s="7" t="e">
        <f t="shared" si="12"/>
        <v>#DIV/0!</v>
      </c>
      <c r="Q173" s="7" t="e">
        <f t="shared" si="12"/>
        <v>#DIV/0!</v>
      </c>
      <c r="R173" s="7" t="e">
        <f t="shared" si="12"/>
        <v>#DIV/0!</v>
      </c>
      <c r="S173" s="7" t="e">
        <f t="shared" si="12"/>
        <v>#DIV/0!</v>
      </c>
      <c r="T173" s="7" t="e">
        <f t="shared" si="12"/>
        <v>#DIV/0!</v>
      </c>
      <c r="U173" s="7" t="e">
        <f t="shared" si="12"/>
        <v>#DIV/0!</v>
      </c>
      <c r="V173" s="7" t="e">
        <f t="shared" si="12"/>
        <v>#DIV/0!</v>
      </c>
      <c r="W173" s="7" t="e">
        <f t="shared" si="12"/>
        <v>#DIV/0!</v>
      </c>
      <c r="X173" s="7" t="e">
        <f t="shared" si="12"/>
        <v>#DIV/0!</v>
      </c>
      <c r="Y173" s="7" t="e">
        <f t="shared" si="12"/>
        <v>#DIV/0!</v>
      </c>
      <c r="Z173" s="7" t="e">
        <f t="shared" si="12"/>
        <v>#DIV/0!</v>
      </c>
      <c r="AA173" s="7" t="e">
        <f t="shared" si="12"/>
        <v>#DIV/0!</v>
      </c>
    </row>
    <row r="174" spans="1:9" ht="13.5">
      <c r="A174" t="s">
        <v>10</v>
      </c>
      <c r="B174" t="s">
        <v>11</v>
      </c>
      <c r="D174" s="26"/>
      <c r="E174" s="8"/>
      <c r="F174" t="s">
        <v>68</v>
      </c>
      <c r="G174" t="s">
        <v>12</v>
      </c>
      <c r="H174" s="26"/>
      <c r="I174" t="s">
        <v>68</v>
      </c>
    </row>
    <row r="175" spans="4:9" ht="13.5">
      <c r="D175" s="27"/>
      <c r="E175" s="4"/>
      <c r="F175" t="s">
        <v>68</v>
      </c>
      <c r="H175" s="26"/>
      <c r="I175" t="s">
        <v>68</v>
      </c>
    </row>
    <row r="176" spans="2:9" ht="13.5">
      <c r="B176" t="s">
        <v>13</v>
      </c>
      <c r="D176" s="28" t="e">
        <f>AVERAGE(D174:D175)</f>
        <v>#DIV/0!</v>
      </c>
      <c r="E176" s="9"/>
      <c r="F176" t="s">
        <v>68</v>
      </c>
      <c r="H176" s="26"/>
      <c r="I176" t="s">
        <v>68</v>
      </c>
    </row>
    <row r="177" spans="8:9" ht="13.5">
      <c r="H177" s="26"/>
      <c r="I177" t="s">
        <v>68</v>
      </c>
    </row>
    <row r="178" spans="7:9" ht="13.5">
      <c r="G178" t="s">
        <v>13</v>
      </c>
      <c r="H178" s="28" t="e">
        <f>AVERAGE(H174:H177)</f>
        <v>#DIV/0!</v>
      </c>
      <c r="I178" t="s">
        <v>68</v>
      </c>
    </row>
    <row r="181" spans="1:8" ht="13.5">
      <c r="A181">
        <v>297.9146048802904</v>
      </c>
      <c r="B181">
        <v>7.519057544413954E-05</v>
      </c>
      <c r="D181">
        <v>7.50061910908888E-05</v>
      </c>
      <c r="F181">
        <v>1.4427443214665863</v>
      </c>
      <c r="G181">
        <v>36.87066550020419</v>
      </c>
      <c r="H181">
        <v>4355.693010127673</v>
      </c>
    </row>
  </sheetData>
  <sheetProtection/>
  <mergeCells count="44">
    <mergeCell ref="B58:C58"/>
    <mergeCell ref="E58:F58"/>
    <mergeCell ref="B59:C59"/>
    <mergeCell ref="B60:C60"/>
    <mergeCell ref="B53:C53"/>
    <mergeCell ref="D53:E53"/>
    <mergeCell ref="B56:C56"/>
    <mergeCell ref="E56:F56"/>
    <mergeCell ref="B57:C57"/>
    <mergeCell ref="E57:F57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Q42:T42"/>
    <mergeCell ref="B44:C44"/>
    <mergeCell ref="D44:E44"/>
    <mergeCell ref="B45:C45"/>
    <mergeCell ref="D45:E45"/>
    <mergeCell ref="B46:C46"/>
    <mergeCell ref="D46:E46"/>
    <mergeCell ref="E41:G41"/>
    <mergeCell ref="N41:P41"/>
    <mergeCell ref="A42:A43"/>
    <mergeCell ref="B42:C43"/>
    <mergeCell ref="D42:E43"/>
    <mergeCell ref="F42:I42"/>
    <mergeCell ref="J42:M42"/>
    <mergeCell ref="N42:P42"/>
    <mergeCell ref="A1:C1"/>
    <mergeCell ref="D1:F1"/>
    <mergeCell ref="G1:I1"/>
    <mergeCell ref="J1:L1"/>
    <mergeCell ref="M1:O1"/>
    <mergeCell ref="A2:C2"/>
    <mergeCell ref="D2:N2"/>
  </mergeCells>
  <printOptions horizontalCentered="1"/>
  <pageMargins left="0.3937007874015748" right="0.2362204724409449" top="1.1811023622047245" bottom="0.31496062992125984" header="0.9448818897637796" footer="0.2755905511811024"/>
  <pageSetup horizontalDpi="600" verticalDpi="600" orientation="landscape" paperSize="9" scale="110" r:id="rId2"/>
  <headerFooter alignWithMargins="0">
    <oddHeader>&amp;L&amp;D&amp;R&amp;F&amp;A</oddHeader>
  </headerFooter>
  <rowBreaks count="1" manualBreakCount="1">
    <brk id="34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AN18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3" width="5.625" style="0" customWidth="1"/>
    <col min="4" max="4" width="7.75390625" style="0" customWidth="1"/>
    <col min="5" max="22" width="5.625" style="0" customWidth="1"/>
  </cols>
  <sheetData>
    <row r="1" spans="1:16" ht="13.5">
      <c r="A1" s="148" t="s">
        <v>40</v>
      </c>
      <c r="B1" s="148"/>
      <c r="C1" s="148"/>
      <c r="D1" s="149">
        <v>39051</v>
      </c>
      <c r="E1" s="150"/>
      <c r="F1" s="151"/>
      <c r="G1" s="148" t="s">
        <v>44</v>
      </c>
      <c r="H1" s="148"/>
      <c r="I1" s="148"/>
      <c r="J1" s="149">
        <v>38718</v>
      </c>
      <c r="K1" s="150"/>
      <c r="L1" s="151"/>
      <c r="M1" s="152" t="s">
        <v>61</v>
      </c>
      <c r="N1" s="153"/>
      <c r="O1" s="154"/>
      <c r="P1" s="65">
        <v>-13.3</v>
      </c>
    </row>
    <row r="2" spans="1:14" ht="18" customHeight="1">
      <c r="A2" s="155" t="s">
        <v>35</v>
      </c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7"/>
    </row>
    <row r="3" spans="1:19" ht="36" customHeight="1">
      <c r="A3" s="1" t="s">
        <v>64</v>
      </c>
      <c r="B3" s="97" t="s">
        <v>65</v>
      </c>
      <c r="C3" s="97" t="s">
        <v>36</v>
      </c>
      <c r="D3" s="97" t="s">
        <v>66</v>
      </c>
      <c r="E3" s="99" t="s">
        <v>46</v>
      </c>
      <c r="F3" s="101" t="s">
        <v>1</v>
      </c>
      <c r="G3" s="29"/>
      <c r="H3" s="29"/>
      <c r="Q3" s="94"/>
      <c r="R3" s="94"/>
      <c r="S3" s="94"/>
    </row>
    <row r="4" spans="1:8" ht="13.5">
      <c r="A4" s="63">
        <v>1</v>
      </c>
      <c r="B4" s="95">
        <v>50</v>
      </c>
      <c r="C4" s="92">
        <v>31.5</v>
      </c>
      <c r="D4" s="98">
        <f aca="true" t="shared" si="0" ref="D4:D17">IF(B4="",D3,IF(B4&gt;(B4-$B$32)*(1+$F$32),(B4-$B$32)*(1+$F$32),B4))</f>
        <v>43.26</v>
      </c>
      <c r="E4" s="100">
        <f aca="true" t="shared" si="1" ref="E4:E17">IF(B4="",E3,D4*10^-3/((C4+$P$1)*10^-6))</f>
        <v>2376.923076923077</v>
      </c>
      <c r="F4" s="102">
        <f>IF(B4="","",C4*10^-6)</f>
        <v>3.15E-05</v>
      </c>
      <c r="G4" s="29"/>
      <c r="H4" s="29"/>
    </row>
    <row r="5" spans="1:8" ht="13.5">
      <c r="A5" s="64">
        <v>2</v>
      </c>
      <c r="B5" s="96">
        <v>75</v>
      </c>
      <c r="C5" s="93">
        <v>51.8</v>
      </c>
      <c r="D5" s="98">
        <f t="shared" si="0"/>
        <v>69.01</v>
      </c>
      <c r="E5" s="100">
        <f t="shared" si="1"/>
        <v>1792.4675324675325</v>
      </c>
      <c r="F5" s="102">
        <f aca="true" t="shared" si="2" ref="F5:F28">IF(B5="","",C5*10^-6)</f>
        <v>5.179999999999999E-05</v>
      </c>
      <c r="G5" s="29"/>
      <c r="H5" s="29"/>
    </row>
    <row r="6" spans="1:8" ht="13.5">
      <c r="A6" s="64">
        <v>3</v>
      </c>
      <c r="B6" s="96">
        <v>100</v>
      </c>
      <c r="C6" s="93">
        <v>55</v>
      </c>
      <c r="D6" s="98">
        <f t="shared" si="0"/>
        <v>94.76</v>
      </c>
      <c r="E6" s="100">
        <f t="shared" si="1"/>
        <v>2272.42206235012</v>
      </c>
      <c r="F6" s="102">
        <f t="shared" si="2"/>
        <v>5.4999999999999995E-05</v>
      </c>
      <c r="G6" s="29"/>
      <c r="H6" s="29"/>
    </row>
    <row r="7" spans="1:8" ht="13.5">
      <c r="A7" s="64">
        <v>4</v>
      </c>
      <c r="B7" s="96">
        <v>125</v>
      </c>
      <c r="C7" s="93">
        <v>61.8</v>
      </c>
      <c r="D7" s="98">
        <f t="shared" si="0"/>
        <v>120.51</v>
      </c>
      <c r="E7" s="100">
        <f t="shared" si="1"/>
        <v>2484.7422680412374</v>
      </c>
      <c r="F7" s="102">
        <f t="shared" si="2"/>
        <v>6.18E-05</v>
      </c>
      <c r="G7" s="29"/>
      <c r="H7" s="29"/>
    </row>
    <row r="8" spans="1:8" ht="13.5">
      <c r="A8" s="64">
        <v>5</v>
      </c>
      <c r="B8" s="96">
        <v>150</v>
      </c>
      <c r="C8" s="93">
        <v>71.4</v>
      </c>
      <c r="D8" s="98">
        <f t="shared" si="0"/>
        <v>146.26</v>
      </c>
      <c r="E8" s="100">
        <f t="shared" si="1"/>
        <v>2517.3838209982787</v>
      </c>
      <c r="F8" s="102">
        <f t="shared" si="2"/>
        <v>7.14E-05</v>
      </c>
      <c r="G8" s="29"/>
      <c r="H8" s="29"/>
    </row>
    <row r="9" spans="1:8" ht="13.5">
      <c r="A9" s="64">
        <v>6</v>
      </c>
      <c r="B9" s="96">
        <v>175</v>
      </c>
      <c r="C9" s="93">
        <v>76.3</v>
      </c>
      <c r="D9" s="98">
        <f t="shared" si="0"/>
        <v>172.01</v>
      </c>
      <c r="E9" s="100">
        <f t="shared" si="1"/>
        <v>2730.3174603174602</v>
      </c>
      <c r="F9" s="102">
        <f t="shared" si="2"/>
        <v>7.63E-05</v>
      </c>
      <c r="G9" s="29"/>
      <c r="H9" s="29"/>
    </row>
    <row r="10" spans="1:8" ht="13.5">
      <c r="A10" s="64">
        <v>7</v>
      </c>
      <c r="B10" s="96">
        <v>200</v>
      </c>
      <c r="C10" s="93">
        <v>87</v>
      </c>
      <c r="D10" s="98">
        <f t="shared" si="0"/>
        <v>197.76</v>
      </c>
      <c r="E10" s="100">
        <f t="shared" si="1"/>
        <v>2683.3107191316144</v>
      </c>
      <c r="F10" s="102">
        <f t="shared" si="2"/>
        <v>8.7E-05</v>
      </c>
      <c r="G10" s="29"/>
      <c r="H10" s="29"/>
    </row>
    <row r="11" spans="1:8" ht="13.5">
      <c r="A11" s="64">
        <v>8</v>
      </c>
      <c r="B11" s="96">
        <v>250</v>
      </c>
      <c r="C11" s="93">
        <v>110</v>
      </c>
      <c r="D11" s="98">
        <f t="shared" si="0"/>
        <v>249.26000000000002</v>
      </c>
      <c r="E11" s="100">
        <f t="shared" si="1"/>
        <v>2577.662874870735</v>
      </c>
      <c r="F11" s="102">
        <f t="shared" si="2"/>
        <v>0.00010999999999999999</v>
      </c>
      <c r="G11" s="29"/>
      <c r="H11" s="29"/>
    </row>
    <row r="12" spans="1:8" ht="13.5">
      <c r="A12" s="64">
        <v>9</v>
      </c>
      <c r="B12" s="96">
        <v>300</v>
      </c>
      <c r="C12" s="93">
        <v>133.4</v>
      </c>
      <c r="D12" s="98">
        <f t="shared" si="0"/>
        <v>300</v>
      </c>
      <c r="E12" s="100">
        <f t="shared" si="1"/>
        <v>2497.918401332223</v>
      </c>
      <c r="F12" s="102">
        <f t="shared" si="2"/>
        <v>0.0001334</v>
      </c>
      <c r="G12" s="29"/>
      <c r="H12" s="29"/>
    </row>
    <row r="13" spans="1:8" ht="13.5">
      <c r="A13" s="64">
        <v>10</v>
      </c>
      <c r="B13" s="96">
        <v>350</v>
      </c>
      <c r="C13" s="93">
        <v>146.7</v>
      </c>
      <c r="D13" s="98">
        <f t="shared" si="0"/>
        <v>350</v>
      </c>
      <c r="E13" s="100">
        <f t="shared" si="1"/>
        <v>2623.68815592204</v>
      </c>
      <c r="F13" s="102">
        <f t="shared" si="2"/>
        <v>0.0001467</v>
      </c>
      <c r="G13" s="29"/>
      <c r="H13" s="29"/>
    </row>
    <row r="14" spans="1:8" ht="13.5">
      <c r="A14" s="64">
        <v>11</v>
      </c>
      <c r="B14" s="96">
        <v>400</v>
      </c>
      <c r="C14" s="93">
        <v>161.7</v>
      </c>
      <c r="D14" s="98">
        <f t="shared" si="0"/>
        <v>400</v>
      </c>
      <c r="E14" s="100">
        <f t="shared" si="1"/>
        <v>2695.417789757413</v>
      </c>
      <c r="F14" s="102">
        <f t="shared" si="2"/>
        <v>0.00016169999999999997</v>
      </c>
      <c r="G14" s="29"/>
      <c r="H14" s="29"/>
    </row>
    <row r="15" spans="1:8" ht="13.5">
      <c r="A15" s="64">
        <v>12</v>
      </c>
      <c r="B15" s="96">
        <v>450</v>
      </c>
      <c r="C15" s="93">
        <v>170.5</v>
      </c>
      <c r="D15" s="98">
        <f t="shared" si="0"/>
        <v>450</v>
      </c>
      <c r="E15" s="100">
        <f t="shared" si="1"/>
        <v>2862.5954198473287</v>
      </c>
      <c r="F15" s="102">
        <f t="shared" si="2"/>
        <v>0.0001705</v>
      </c>
      <c r="G15" s="29"/>
      <c r="H15" s="29"/>
    </row>
    <row r="16" spans="1:8" ht="13.5">
      <c r="A16" s="64">
        <v>13</v>
      </c>
      <c r="B16" s="96">
        <v>500</v>
      </c>
      <c r="C16" s="93">
        <v>187.9</v>
      </c>
      <c r="D16" s="98">
        <f t="shared" si="0"/>
        <v>500</v>
      </c>
      <c r="E16" s="100">
        <f t="shared" si="1"/>
        <v>2863.6884306987404</v>
      </c>
      <c r="F16" s="102">
        <f t="shared" si="2"/>
        <v>0.0001879</v>
      </c>
      <c r="G16" s="29"/>
      <c r="H16" s="29"/>
    </row>
    <row r="17" spans="1:8" ht="13.5">
      <c r="A17" s="64">
        <v>14</v>
      </c>
      <c r="B17" s="96">
        <v>600</v>
      </c>
      <c r="C17" s="93">
        <v>222</v>
      </c>
      <c r="D17" s="98">
        <f t="shared" si="0"/>
        <v>600</v>
      </c>
      <c r="E17" s="100">
        <f t="shared" si="1"/>
        <v>2874.940105414471</v>
      </c>
      <c r="F17" s="102">
        <f t="shared" si="2"/>
        <v>0.000222</v>
      </c>
      <c r="G17" s="29"/>
      <c r="H17" s="29"/>
    </row>
    <row r="18" spans="1:19" ht="13.5" customHeight="1">
      <c r="A18" s="64">
        <v>15</v>
      </c>
      <c r="B18" s="96">
        <v>700</v>
      </c>
      <c r="C18" s="93">
        <v>252</v>
      </c>
      <c r="D18" s="98">
        <f>IF(B18="",D17,IF(B18&gt;(B18-$B$32)*(1+$F$32),(B18-$B$32)*(1+$F$32),B18))</f>
        <v>700</v>
      </c>
      <c r="E18" s="100">
        <f>IF(B18="",E17,D18*10^-3/((C18+$P$1)*10^-6))</f>
        <v>2932.5513196480942</v>
      </c>
      <c r="F18" s="102">
        <f t="shared" si="2"/>
        <v>0.000252</v>
      </c>
      <c r="Q18">
        <v>150</v>
      </c>
      <c r="R18">
        <v>29.1</v>
      </c>
      <c r="S18">
        <f>IF(R18="","",69*10^-3/((R18-13.3)*10^-6))</f>
        <v>4367.088607594937</v>
      </c>
    </row>
    <row r="19" spans="1:6" ht="13.5">
      <c r="A19" s="64">
        <v>16</v>
      </c>
      <c r="B19" s="96">
        <v>800</v>
      </c>
      <c r="C19" s="93">
        <v>288</v>
      </c>
      <c r="D19" s="98">
        <f aca="true" t="shared" si="3" ref="D19:D28">IF(B19="",D18,IF(B19&gt;(B19-$B$32)*(1+$F$32),(B19-$B$32)*(1+$F$32),B19))</f>
        <v>800</v>
      </c>
      <c r="E19" s="100">
        <f aca="true" t="shared" si="4" ref="E19:E28">IF(B19="",E18,D19*10^-3/((C19+$P$1)*10^-6))</f>
        <v>2912.2679286494363</v>
      </c>
      <c r="F19" s="102">
        <f t="shared" si="2"/>
        <v>0.000288</v>
      </c>
    </row>
    <row r="20" spans="1:6" ht="13.5">
      <c r="A20" s="64">
        <v>17</v>
      </c>
      <c r="B20" s="96">
        <v>900</v>
      </c>
      <c r="C20" s="93">
        <v>320</v>
      </c>
      <c r="D20" s="98">
        <f t="shared" si="3"/>
        <v>900</v>
      </c>
      <c r="E20" s="100">
        <f t="shared" si="4"/>
        <v>2934.4636452559507</v>
      </c>
      <c r="F20" s="102">
        <f t="shared" si="2"/>
        <v>0.00031999999999999997</v>
      </c>
    </row>
    <row r="21" spans="1:6" ht="13.5">
      <c r="A21" s="64">
        <v>18</v>
      </c>
      <c r="B21" s="96">
        <v>1000</v>
      </c>
      <c r="C21" s="93">
        <v>355</v>
      </c>
      <c r="D21" s="98">
        <f t="shared" si="3"/>
        <v>1000</v>
      </c>
      <c r="E21" s="100">
        <f t="shared" si="4"/>
        <v>2926.54375182909</v>
      </c>
      <c r="F21" s="102">
        <f t="shared" si="2"/>
        <v>0.000355</v>
      </c>
    </row>
    <row r="22" spans="1:6" ht="13.5">
      <c r="A22" s="64">
        <v>19</v>
      </c>
      <c r="B22" s="96">
        <v>1100</v>
      </c>
      <c r="C22" s="93">
        <v>380</v>
      </c>
      <c r="D22" s="98">
        <f t="shared" si="3"/>
        <v>1100</v>
      </c>
      <c r="E22" s="100">
        <f t="shared" si="4"/>
        <v>2999.727297518408</v>
      </c>
      <c r="F22" s="102">
        <f t="shared" si="2"/>
        <v>0.00037999999999999997</v>
      </c>
    </row>
    <row r="23" spans="1:6" ht="13.5">
      <c r="A23" s="64">
        <v>20</v>
      </c>
      <c r="B23" s="96">
        <v>1200</v>
      </c>
      <c r="C23" s="93">
        <v>420</v>
      </c>
      <c r="D23" s="98">
        <f t="shared" si="3"/>
        <v>1200</v>
      </c>
      <c r="E23" s="100">
        <f t="shared" si="4"/>
        <v>2950.577821490042</v>
      </c>
      <c r="F23" s="102">
        <f t="shared" si="2"/>
        <v>0.00041999999999999996</v>
      </c>
    </row>
    <row r="24" spans="1:6" ht="13.5">
      <c r="A24" s="64">
        <v>21</v>
      </c>
      <c r="B24" s="96">
        <v>1300</v>
      </c>
      <c r="C24" s="93">
        <v>450</v>
      </c>
      <c r="D24" s="98">
        <f t="shared" si="3"/>
        <v>1300</v>
      </c>
      <c r="E24" s="100">
        <f t="shared" si="4"/>
        <v>2976.8719945042367</v>
      </c>
      <c r="F24" s="102">
        <f t="shared" si="2"/>
        <v>0.00045</v>
      </c>
    </row>
    <row r="25" spans="1:6" ht="13.5">
      <c r="A25" s="64">
        <v>22</v>
      </c>
      <c r="B25" s="96">
        <v>1400</v>
      </c>
      <c r="C25" s="93">
        <v>480</v>
      </c>
      <c r="D25" s="98">
        <f t="shared" si="3"/>
        <v>1400</v>
      </c>
      <c r="E25" s="100">
        <f t="shared" si="4"/>
        <v>2999.7857295907443</v>
      </c>
      <c r="F25" s="102">
        <f t="shared" si="2"/>
        <v>0.00047999999999999996</v>
      </c>
    </row>
    <row r="26" spans="1:6" ht="13.5">
      <c r="A26" s="64">
        <v>23</v>
      </c>
      <c r="B26" s="96">
        <v>1500</v>
      </c>
      <c r="C26" s="93">
        <v>515</v>
      </c>
      <c r="D26" s="98">
        <f t="shared" si="3"/>
        <v>1500</v>
      </c>
      <c r="E26" s="100">
        <f t="shared" si="4"/>
        <v>2989.8345624875424</v>
      </c>
      <c r="F26" s="102">
        <f t="shared" si="2"/>
        <v>0.0005149999999999999</v>
      </c>
    </row>
    <row r="27" spans="1:24" ht="13.5">
      <c r="A27" s="64">
        <v>24</v>
      </c>
      <c r="B27" s="96">
        <v>1600</v>
      </c>
      <c r="C27" s="93">
        <v>545</v>
      </c>
      <c r="D27" s="98">
        <f t="shared" si="3"/>
        <v>1600</v>
      </c>
      <c r="E27" s="100">
        <f t="shared" si="4"/>
        <v>3009.2157231521537</v>
      </c>
      <c r="F27" s="102">
        <f t="shared" si="2"/>
        <v>0.000545</v>
      </c>
      <c r="X27" t="s">
        <v>67</v>
      </c>
    </row>
    <row r="28" spans="1:6" ht="13.5">
      <c r="A28" s="64">
        <v>25</v>
      </c>
      <c r="B28" s="96">
        <v>1700</v>
      </c>
      <c r="C28" s="93">
        <v>570</v>
      </c>
      <c r="D28" s="98">
        <f t="shared" si="3"/>
        <v>1700</v>
      </c>
      <c r="E28" s="100">
        <f t="shared" si="4"/>
        <v>3053.7093587210343</v>
      </c>
      <c r="F28" s="102">
        <f t="shared" si="2"/>
        <v>0.00057</v>
      </c>
    </row>
    <row r="29" spans="1:6" ht="13.5">
      <c r="A29" s="1"/>
      <c r="B29" s="91" t="s">
        <v>87</v>
      </c>
      <c r="C29" s="91"/>
      <c r="D29" s="91"/>
      <c r="E29" s="97"/>
      <c r="F29" s="102"/>
    </row>
    <row r="30" spans="1:6" ht="13.5">
      <c r="A30" s="1" t="s">
        <v>88</v>
      </c>
      <c r="B30" s="138">
        <f>COUNT(B4:B28)</f>
        <v>25</v>
      </c>
      <c r="C30" s="91"/>
      <c r="D30" s="91"/>
      <c r="E30" s="97"/>
      <c r="F30" s="102"/>
    </row>
    <row r="31" spans="1:6" ht="13.5">
      <c r="A31" s="1"/>
      <c r="B31" s="91"/>
      <c r="C31" s="91"/>
      <c r="D31" s="91"/>
      <c r="E31" s="97"/>
      <c r="F31" s="102"/>
    </row>
    <row r="32" spans="1:12" s="103" customFormat="1" ht="13.5" customHeight="1">
      <c r="A32" s="108" t="s">
        <v>2</v>
      </c>
      <c r="B32" s="109">
        <v>8</v>
      </c>
      <c r="C32" s="110" t="s">
        <v>68</v>
      </c>
      <c r="D32" s="104"/>
      <c r="E32" s="104" t="s">
        <v>69</v>
      </c>
      <c r="F32" s="109">
        <v>0.03</v>
      </c>
      <c r="H32" s="103" t="s">
        <v>27</v>
      </c>
      <c r="K32" s="109">
        <v>15</v>
      </c>
      <c r="L32" s="111" t="s">
        <v>14</v>
      </c>
    </row>
    <row r="33" spans="1:22" s="103" customFormat="1" ht="13.5" customHeight="1" thickBot="1">
      <c r="A33" s="103" t="s">
        <v>70</v>
      </c>
      <c r="D33" s="111"/>
      <c r="E33" s="111"/>
      <c r="F33" s="111"/>
      <c r="G33" s="111"/>
      <c r="H33" s="111"/>
      <c r="I33" s="111"/>
      <c r="S33" s="112" t="s">
        <v>9</v>
      </c>
      <c r="T33" s="113" t="s">
        <v>73</v>
      </c>
      <c r="U33" s="114">
        <v>3851.131063364017</v>
      </c>
      <c r="V33" s="115" t="s">
        <v>6</v>
      </c>
    </row>
    <row r="34" spans="1:9" s="115" customFormat="1" ht="13.5" customHeight="1" thickBot="1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21" s="103" customFormat="1" ht="13.5" customHeight="1">
      <c r="A35" s="104"/>
      <c r="B35" s="104"/>
      <c r="C35" s="104"/>
      <c r="D35" s="104"/>
      <c r="E35" s="104"/>
      <c r="F35" s="104"/>
      <c r="J35" s="135"/>
      <c r="K35" s="105" t="s">
        <v>89</v>
      </c>
      <c r="L35" s="106"/>
      <c r="M35" s="106"/>
      <c r="N35" s="106"/>
      <c r="O35" s="107"/>
      <c r="P35" s="106"/>
      <c r="Q35" s="106"/>
      <c r="R35" s="66" t="s">
        <v>74</v>
      </c>
      <c r="S35" s="146">
        <f>S36*(B59+B60*P36)/P36</f>
        <v>6.6600551017253835</v>
      </c>
      <c r="T35" s="122" t="s">
        <v>75</v>
      </c>
      <c r="U35" s="121"/>
    </row>
    <row r="36" spans="4:22" s="103" customFormat="1" ht="13.5" customHeight="1">
      <c r="D36" s="104"/>
      <c r="E36" s="104"/>
      <c r="F36" s="104"/>
      <c r="G36" s="111"/>
      <c r="H36" s="111"/>
      <c r="I36" s="111"/>
      <c r="J36" s="133"/>
      <c r="K36" s="105" t="s">
        <v>39</v>
      </c>
      <c r="N36" s="106" t="s">
        <v>76</v>
      </c>
      <c r="P36" s="89">
        <f>$D$1-$J$1</f>
        <v>333</v>
      </c>
      <c r="Q36" s="106" t="s">
        <v>43</v>
      </c>
      <c r="R36" s="119"/>
      <c r="S36" s="146">
        <f>$E$56*EXP($E$57*$U$33)</f>
        <v>11.369076033931053</v>
      </c>
      <c r="T36" s="105" t="s">
        <v>75</v>
      </c>
      <c r="U36" s="1"/>
      <c r="V36"/>
    </row>
    <row r="37" spans="4:22" s="103" customFormat="1" ht="13.5" customHeight="1">
      <c r="D37" s="104"/>
      <c r="E37" s="104"/>
      <c r="F37" s="104"/>
      <c r="G37" s="111"/>
      <c r="H37" s="111"/>
      <c r="I37" s="111"/>
      <c r="J37" s="134"/>
      <c r="K37" s="105" t="s">
        <v>86</v>
      </c>
      <c r="L37" s="106"/>
      <c r="M37" s="106"/>
      <c r="N37" s="106" t="s">
        <v>45</v>
      </c>
      <c r="O37" s="107"/>
      <c r="P37" s="109">
        <v>365</v>
      </c>
      <c r="Q37" s="106" t="s">
        <v>43</v>
      </c>
      <c r="R37" s="66" t="s">
        <v>91</v>
      </c>
      <c r="S37" s="146">
        <f>$S$35*$P$37/($B$59+$B$60*$P$37)</f>
        <v>11.43414468264242</v>
      </c>
      <c r="T37" s="123" t="s">
        <v>75</v>
      </c>
      <c r="U37" s="35"/>
      <c r="V37"/>
    </row>
    <row r="38" spans="4:22" s="103" customFormat="1" ht="13.5" customHeight="1">
      <c r="D38" s="104"/>
      <c r="E38" s="104"/>
      <c r="F38" s="104"/>
      <c r="G38" s="111"/>
      <c r="H38" s="111"/>
      <c r="I38" s="111"/>
      <c r="J38" s="136"/>
      <c r="K38" s="126" t="s">
        <v>47</v>
      </c>
      <c r="L38" s="127"/>
      <c r="M38" s="127"/>
      <c r="N38" s="36">
        <v>1</v>
      </c>
      <c r="O38" s="5" t="s">
        <v>85</v>
      </c>
      <c r="P38" s="5"/>
      <c r="Q38" s="5"/>
      <c r="R38" s="5"/>
      <c r="S38" s="5"/>
      <c r="T38" s="5"/>
      <c r="U38" s="128"/>
      <c r="V38"/>
    </row>
    <row r="39" spans="10:22" s="103" customFormat="1" ht="13.5" customHeight="1">
      <c r="J39" s="137"/>
      <c r="K39" s="147" t="s">
        <v>90</v>
      </c>
      <c r="L39" s="129"/>
      <c r="M39" s="129"/>
      <c r="N39" s="129"/>
      <c r="O39" s="129"/>
      <c r="P39" s="129"/>
      <c r="Q39" s="130"/>
      <c r="R39" s="131" t="s">
        <v>84</v>
      </c>
      <c r="S39" s="145">
        <f>IF(N38=0,S35,IF(D62&lt;=40,S35*1.1,S35*(1.5-0.01*D62)))</f>
        <v>7.326060611897923</v>
      </c>
      <c r="T39" s="130" t="s">
        <v>75</v>
      </c>
      <c r="U39" s="132"/>
      <c r="V39"/>
    </row>
    <row r="40" ht="17.25" customHeight="1">
      <c r="A40" t="s">
        <v>32</v>
      </c>
    </row>
    <row r="41" spans="4:17" ht="13.5">
      <c r="D41" s="12" t="s">
        <v>31</v>
      </c>
      <c r="E41" s="158">
        <v>38710</v>
      </c>
      <c r="F41" s="159"/>
      <c r="G41" s="160"/>
      <c r="I41" t="s">
        <v>41</v>
      </c>
      <c r="L41" s="36">
        <f>COUNT(B44:C53)</f>
        <v>6</v>
      </c>
      <c r="M41" t="s">
        <v>42</v>
      </c>
      <c r="N41" s="152" t="s">
        <v>61</v>
      </c>
      <c r="O41" s="153"/>
      <c r="P41" s="154"/>
      <c r="Q41" s="65">
        <v>-13.3</v>
      </c>
    </row>
    <row r="42" spans="1:20" ht="15.75">
      <c r="A42" s="155" t="s">
        <v>64</v>
      </c>
      <c r="B42" s="155" t="s">
        <v>33</v>
      </c>
      <c r="C42" s="155"/>
      <c r="D42" s="155" t="s">
        <v>48</v>
      </c>
      <c r="E42" s="155"/>
      <c r="F42" s="155" t="s">
        <v>37</v>
      </c>
      <c r="G42" s="155"/>
      <c r="H42" s="155"/>
      <c r="I42" s="155"/>
      <c r="J42" s="155" t="s">
        <v>34</v>
      </c>
      <c r="K42" s="155"/>
      <c r="L42" s="155"/>
      <c r="M42" s="155"/>
      <c r="N42" s="161" t="s">
        <v>0</v>
      </c>
      <c r="O42" s="162"/>
      <c r="P42" s="163"/>
      <c r="Q42" s="164" t="s">
        <v>38</v>
      </c>
      <c r="R42" s="164"/>
      <c r="S42" s="164"/>
      <c r="T42" s="164"/>
    </row>
    <row r="43" spans="1:20" ht="13.5">
      <c r="A43" s="155"/>
      <c r="B43" s="155"/>
      <c r="C43" s="155"/>
      <c r="D43" s="155"/>
      <c r="E43" s="155"/>
      <c r="F43" s="17">
        <v>1</v>
      </c>
      <c r="G43" s="18">
        <v>2</v>
      </c>
      <c r="H43" s="18">
        <v>3</v>
      </c>
      <c r="I43" s="19" t="s">
        <v>13</v>
      </c>
      <c r="J43" s="17">
        <v>1</v>
      </c>
      <c r="K43" s="18">
        <v>2</v>
      </c>
      <c r="L43" s="18">
        <v>3</v>
      </c>
      <c r="M43" s="19" t="s">
        <v>13</v>
      </c>
      <c r="N43" s="17">
        <v>1</v>
      </c>
      <c r="O43" s="18">
        <v>2</v>
      </c>
      <c r="P43" s="18">
        <v>3</v>
      </c>
      <c r="Q43" s="17">
        <v>1</v>
      </c>
      <c r="R43" s="18">
        <v>2</v>
      </c>
      <c r="S43" s="18">
        <v>3</v>
      </c>
      <c r="T43" s="19" t="s">
        <v>13</v>
      </c>
    </row>
    <row r="44" spans="1:20" ht="13.5">
      <c r="A44" s="21">
        <v>1</v>
      </c>
      <c r="B44" s="165">
        <v>38722</v>
      </c>
      <c r="C44" s="165"/>
      <c r="D44" s="166">
        <f aca="true" t="shared" si="5" ref="D44:D53">+B44-$E$41</f>
        <v>12</v>
      </c>
      <c r="E44" s="166"/>
      <c r="F44" s="38">
        <v>200</v>
      </c>
      <c r="G44" s="39"/>
      <c r="H44" s="39"/>
      <c r="I44" s="30">
        <f>IF(H44=0,IF(G44=0,F44,AVERAGE(F44,G44)),AVERAGE(F44:H44))</f>
        <v>200</v>
      </c>
      <c r="J44" s="44">
        <v>13.3</v>
      </c>
      <c r="K44" s="45"/>
      <c r="L44" s="45"/>
      <c r="M44" s="30">
        <f>IF(L44=0,IF(K44=0,J44,AVERAGE(J44,K44)),AVERAGE(J44:L44))</f>
        <v>13.3</v>
      </c>
      <c r="N44" s="50">
        <v>64.3</v>
      </c>
      <c r="O44" s="51"/>
      <c r="P44" s="90"/>
      <c r="Q44" s="61">
        <f>IF(F44="","",F44/(N44+$Q$41)*1000)</f>
        <v>3921.5686274509803</v>
      </c>
      <c r="R44" s="73">
        <f aca="true" t="shared" si="6" ref="R44:S53">IF(G44="","",G44/(O44+$Q$41)*1000)</f>
      </c>
      <c r="S44" s="62">
        <f t="shared" si="6"/>
      </c>
      <c r="T44" s="68">
        <f>IF(S44=0,IF(R44=0,Q44,AVERAGE(Q44,R44)),AVERAGE(Q44:S44))</f>
        <v>3921.5686274509803</v>
      </c>
    </row>
    <row r="45" spans="1:20" ht="13.5">
      <c r="A45" s="22">
        <v>2</v>
      </c>
      <c r="B45" s="177">
        <v>38726</v>
      </c>
      <c r="C45" s="177"/>
      <c r="D45" s="169">
        <f t="shared" si="5"/>
        <v>16</v>
      </c>
      <c r="E45" s="169"/>
      <c r="F45" s="40">
        <v>200</v>
      </c>
      <c r="G45" s="41"/>
      <c r="H45" s="41"/>
      <c r="I45" s="30">
        <f aca="true" t="shared" si="7" ref="I45:I53">IF(H45=0,IF(G45=0,F45,AVERAGE(F45,G45)),AVERAGE(F45:H45))</f>
        <v>200</v>
      </c>
      <c r="J45" s="46">
        <v>20.8</v>
      </c>
      <c r="K45" s="47"/>
      <c r="L45" s="47"/>
      <c r="M45" s="30">
        <f aca="true" t="shared" si="8" ref="M45:M53">IF(L45=0,IF(K45=0,J45,AVERAGE(J45,K45)),AVERAGE(J45:L45))</f>
        <v>20.8</v>
      </c>
      <c r="N45" s="52">
        <v>60.2</v>
      </c>
      <c r="O45" s="53"/>
      <c r="P45" s="84"/>
      <c r="Q45" s="14">
        <f aca="true" t="shared" si="9" ref="Q45:Q53">IF(F45="","",F45/(N45+$Q$41)*1000)</f>
        <v>4264.392324093816</v>
      </c>
      <c r="R45" s="74">
        <f t="shared" si="6"/>
      </c>
      <c r="S45" s="15">
        <f t="shared" si="6"/>
      </c>
      <c r="T45" s="69">
        <f aca="true" t="shared" si="10" ref="T45:T53">IF(S45=0,IF(R45=0,Q45,AVERAGE(Q45,R45)),AVERAGE(Q45:S45))</f>
        <v>4264.392324093816</v>
      </c>
    </row>
    <row r="46" spans="1:20" ht="13.5">
      <c r="A46" s="22">
        <v>3</v>
      </c>
      <c r="B46" s="177">
        <v>38735</v>
      </c>
      <c r="C46" s="177"/>
      <c r="D46" s="169">
        <f t="shared" si="5"/>
        <v>25</v>
      </c>
      <c r="E46" s="169"/>
      <c r="F46" s="40">
        <v>200</v>
      </c>
      <c r="G46" s="41"/>
      <c r="H46" s="41"/>
      <c r="I46" s="30">
        <f t="shared" si="7"/>
        <v>200</v>
      </c>
      <c r="J46" s="46">
        <v>31.1</v>
      </c>
      <c r="K46" s="47"/>
      <c r="L46" s="47"/>
      <c r="M46" s="30">
        <f t="shared" si="8"/>
        <v>31.1</v>
      </c>
      <c r="N46" s="52">
        <v>58</v>
      </c>
      <c r="O46" s="53"/>
      <c r="P46" s="84"/>
      <c r="Q46" s="86">
        <f t="shared" si="9"/>
        <v>4474.27293064877</v>
      </c>
      <c r="R46" s="75">
        <f t="shared" si="6"/>
      </c>
      <c r="S46" s="76">
        <f t="shared" si="6"/>
      </c>
      <c r="T46" s="70">
        <f t="shared" si="10"/>
        <v>4474.27293064877</v>
      </c>
    </row>
    <row r="47" spans="1:20" ht="13.5">
      <c r="A47" s="22">
        <v>4</v>
      </c>
      <c r="B47" s="167">
        <v>38747</v>
      </c>
      <c r="C47" s="170"/>
      <c r="D47" s="169">
        <f t="shared" si="5"/>
        <v>37</v>
      </c>
      <c r="E47" s="169"/>
      <c r="F47" s="40">
        <v>200</v>
      </c>
      <c r="G47" s="41"/>
      <c r="H47" s="41"/>
      <c r="I47" s="30">
        <f t="shared" si="7"/>
        <v>200</v>
      </c>
      <c r="J47" s="46">
        <v>34.7</v>
      </c>
      <c r="K47" s="47"/>
      <c r="L47" s="47"/>
      <c r="M47" s="30">
        <f t="shared" si="8"/>
        <v>34.7</v>
      </c>
      <c r="N47" s="52">
        <v>57.7</v>
      </c>
      <c r="O47" s="53"/>
      <c r="P47" s="84"/>
      <c r="Q47" s="87">
        <f t="shared" si="9"/>
        <v>4504.5045045045035</v>
      </c>
      <c r="R47" s="77">
        <f t="shared" si="6"/>
      </c>
      <c r="S47" s="78">
        <f t="shared" si="6"/>
      </c>
      <c r="T47" s="71">
        <f t="shared" si="10"/>
        <v>4504.5045045045035</v>
      </c>
    </row>
    <row r="48" spans="1:20" ht="13.5">
      <c r="A48" s="22">
        <v>5</v>
      </c>
      <c r="B48" s="167">
        <v>38806</v>
      </c>
      <c r="C48" s="170"/>
      <c r="D48" s="169">
        <f t="shared" si="5"/>
        <v>96</v>
      </c>
      <c r="E48" s="169"/>
      <c r="F48" s="40">
        <v>200</v>
      </c>
      <c r="G48" s="41"/>
      <c r="H48" s="41"/>
      <c r="I48" s="30">
        <f t="shared" si="7"/>
        <v>200</v>
      </c>
      <c r="J48" s="46">
        <v>42.3</v>
      </c>
      <c r="K48" s="47"/>
      <c r="L48" s="47"/>
      <c r="M48" s="30">
        <f t="shared" si="8"/>
        <v>42.3</v>
      </c>
      <c r="N48" s="52">
        <v>56.5</v>
      </c>
      <c r="O48" s="53"/>
      <c r="P48" s="84"/>
      <c r="Q48" s="88">
        <f t="shared" si="9"/>
        <v>4629.62962962963</v>
      </c>
      <c r="R48" s="15">
        <f t="shared" si="6"/>
      </c>
      <c r="S48" s="74">
        <f t="shared" si="6"/>
      </c>
      <c r="T48" s="69">
        <f t="shared" si="10"/>
        <v>4629.62962962963</v>
      </c>
    </row>
    <row r="49" spans="1:20" ht="13.5">
      <c r="A49" s="22">
        <v>6</v>
      </c>
      <c r="B49" s="167">
        <v>38902</v>
      </c>
      <c r="C49" s="170"/>
      <c r="D49" s="169">
        <f t="shared" si="5"/>
        <v>192</v>
      </c>
      <c r="E49" s="169"/>
      <c r="F49" s="40">
        <v>200</v>
      </c>
      <c r="G49" s="41"/>
      <c r="H49" s="41"/>
      <c r="I49" s="30">
        <f t="shared" si="7"/>
        <v>200</v>
      </c>
      <c r="J49" s="46">
        <v>46</v>
      </c>
      <c r="K49" s="47"/>
      <c r="L49" s="47"/>
      <c r="M49" s="30">
        <f t="shared" si="8"/>
        <v>46</v>
      </c>
      <c r="N49" s="52">
        <v>55.9</v>
      </c>
      <c r="O49" s="53"/>
      <c r="P49" s="84"/>
      <c r="Q49" s="81">
        <f t="shared" si="9"/>
        <v>4694.835680751174</v>
      </c>
      <c r="R49" s="79">
        <f t="shared" si="6"/>
      </c>
      <c r="S49" s="80">
        <f t="shared" si="6"/>
      </c>
      <c r="T49" s="69">
        <f t="shared" si="10"/>
        <v>4694.835680751174</v>
      </c>
    </row>
    <row r="50" spans="1:20" ht="13.5">
      <c r="A50" s="22">
        <v>7</v>
      </c>
      <c r="B50" s="167"/>
      <c r="C50" s="170"/>
      <c r="D50" s="169">
        <f t="shared" si="5"/>
        <v>-38710</v>
      </c>
      <c r="E50" s="169"/>
      <c r="F50" s="40"/>
      <c r="G50" s="41"/>
      <c r="H50" s="41"/>
      <c r="I50" s="30">
        <f t="shared" si="7"/>
        <v>0</v>
      </c>
      <c r="J50" s="46"/>
      <c r="K50" s="47"/>
      <c r="L50" s="47"/>
      <c r="M50" s="30">
        <f t="shared" si="8"/>
        <v>0</v>
      </c>
      <c r="N50" s="52"/>
      <c r="O50" s="53"/>
      <c r="P50" s="53"/>
      <c r="Q50" s="81">
        <f t="shared" si="9"/>
      </c>
      <c r="R50" s="79">
        <f t="shared" si="6"/>
      </c>
      <c r="S50" s="80">
        <f t="shared" si="6"/>
      </c>
      <c r="T50" s="69" t="e">
        <f t="shared" si="10"/>
        <v>#DIV/0!</v>
      </c>
    </row>
    <row r="51" spans="1:20" ht="13.5">
      <c r="A51" s="22">
        <v>8</v>
      </c>
      <c r="B51" s="171"/>
      <c r="C51" s="170"/>
      <c r="D51" s="169">
        <f t="shared" si="5"/>
        <v>-38710</v>
      </c>
      <c r="E51" s="169"/>
      <c r="F51" s="40"/>
      <c r="G51" s="41"/>
      <c r="H51" s="41"/>
      <c r="I51" s="30">
        <f t="shared" si="7"/>
        <v>0</v>
      </c>
      <c r="J51" s="46"/>
      <c r="K51" s="47"/>
      <c r="L51" s="47"/>
      <c r="M51" s="30">
        <f t="shared" si="8"/>
        <v>0</v>
      </c>
      <c r="N51" s="52"/>
      <c r="O51" s="53"/>
      <c r="P51" s="84"/>
      <c r="Q51" s="81">
        <f t="shared" si="9"/>
      </c>
      <c r="R51" s="79">
        <f t="shared" si="6"/>
      </c>
      <c r="S51" s="80">
        <f t="shared" si="6"/>
      </c>
      <c r="T51" s="69" t="e">
        <f t="shared" si="10"/>
        <v>#DIV/0!</v>
      </c>
    </row>
    <row r="52" spans="1:20" ht="13.5">
      <c r="A52" s="22">
        <v>9</v>
      </c>
      <c r="B52" s="171"/>
      <c r="C52" s="170"/>
      <c r="D52" s="169">
        <f t="shared" si="5"/>
        <v>-38710</v>
      </c>
      <c r="E52" s="169"/>
      <c r="F52" s="40"/>
      <c r="G52" s="41"/>
      <c r="H52" s="41"/>
      <c r="I52" s="30">
        <f t="shared" si="7"/>
        <v>0</v>
      </c>
      <c r="J52" s="46"/>
      <c r="K52" s="47"/>
      <c r="L52" s="47"/>
      <c r="M52" s="30">
        <f t="shared" si="8"/>
        <v>0</v>
      </c>
      <c r="N52" s="52"/>
      <c r="O52" s="53"/>
      <c r="P52" s="84"/>
      <c r="Q52" s="81">
        <f t="shared" si="9"/>
      </c>
      <c r="R52" s="79">
        <f t="shared" si="6"/>
      </c>
      <c r="S52" s="15">
        <f t="shared" si="6"/>
      </c>
      <c r="T52" s="69" t="e">
        <f t="shared" si="10"/>
        <v>#DIV/0!</v>
      </c>
    </row>
    <row r="53" spans="1:20" ht="13.5">
      <c r="A53" s="23">
        <v>10</v>
      </c>
      <c r="B53" s="174"/>
      <c r="C53" s="175"/>
      <c r="D53" s="176">
        <f t="shared" si="5"/>
        <v>-38710</v>
      </c>
      <c r="E53" s="176"/>
      <c r="F53" s="42"/>
      <c r="G53" s="43"/>
      <c r="H53" s="43"/>
      <c r="I53" s="31">
        <f t="shared" si="7"/>
        <v>0</v>
      </c>
      <c r="J53" s="48"/>
      <c r="K53" s="49"/>
      <c r="L53" s="49"/>
      <c r="M53" s="31">
        <f t="shared" si="8"/>
        <v>0</v>
      </c>
      <c r="N53" s="54"/>
      <c r="O53" s="55"/>
      <c r="P53" s="85"/>
      <c r="Q53" s="16">
        <f t="shared" si="9"/>
      </c>
      <c r="R53" s="82">
        <f t="shared" si="6"/>
      </c>
      <c r="S53" s="83">
        <f t="shared" si="6"/>
      </c>
      <c r="T53" s="72" t="e">
        <f t="shared" si="10"/>
        <v>#DIV/0!</v>
      </c>
    </row>
    <row r="54" spans="2:4" ht="13.5" customHeight="1">
      <c r="B54" s="32"/>
      <c r="C54" s="32"/>
      <c r="D54" s="32"/>
    </row>
    <row r="55" spans="1:4" ht="13.5">
      <c r="A55" t="s">
        <v>29</v>
      </c>
      <c r="D55" t="s">
        <v>30</v>
      </c>
    </row>
    <row r="56" spans="1:6" ht="13.5">
      <c r="A56" s="13" t="s">
        <v>77</v>
      </c>
      <c r="B56" s="172">
        <v>2.286070254242407</v>
      </c>
      <c r="C56" s="172"/>
      <c r="D56" s="13" t="s">
        <v>78</v>
      </c>
      <c r="E56" s="172">
        <v>0.019465863462262693</v>
      </c>
      <c r="F56" s="172"/>
    </row>
    <row r="57" spans="1:6" ht="13.5">
      <c r="A57" s="13" t="s">
        <v>79</v>
      </c>
      <c r="B57" s="172">
        <v>52.8434716131173</v>
      </c>
      <c r="C57" s="172"/>
      <c r="D57" s="13" t="s">
        <v>80</v>
      </c>
      <c r="E57" s="172">
        <v>0.0016540569186853681</v>
      </c>
      <c r="F57" s="172"/>
    </row>
    <row r="58" spans="1:17" ht="13.5" customHeight="1">
      <c r="A58" s="33" t="s">
        <v>81</v>
      </c>
      <c r="B58" s="172">
        <v>0.8485696313532843</v>
      </c>
      <c r="C58" s="172"/>
      <c r="D58" s="33" t="s">
        <v>81</v>
      </c>
      <c r="E58" s="172">
        <v>0.9410087146478948</v>
      </c>
      <c r="F58" s="17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33" t="s">
        <v>82</v>
      </c>
      <c r="B59" s="173">
        <f>D62/B56</f>
        <v>12.662162288282765</v>
      </c>
      <c r="C59" s="173"/>
      <c r="I59" s="24"/>
      <c r="J59" s="2"/>
      <c r="K59" s="2"/>
      <c r="L59" s="2"/>
      <c r="M59" s="2"/>
      <c r="N59" s="2"/>
      <c r="O59" s="2"/>
      <c r="P59" s="2"/>
      <c r="Q59" s="2"/>
    </row>
    <row r="60" spans="1:17" ht="13.5">
      <c r="A60" s="33" t="s">
        <v>83</v>
      </c>
      <c r="B60" s="173">
        <f>D62/B57</f>
        <v>0.5477799182756155</v>
      </c>
      <c r="C60" s="173"/>
      <c r="I60" s="2"/>
      <c r="J60" s="2"/>
      <c r="K60" s="2"/>
      <c r="L60" s="2"/>
      <c r="M60" s="2"/>
      <c r="N60" s="2"/>
      <c r="O60" s="2"/>
      <c r="P60" s="2"/>
      <c r="Q60" s="2"/>
    </row>
    <row r="61" spans="9:17" ht="13.5">
      <c r="I61" s="2"/>
      <c r="J61" s="25"/>
      <c r="K61" s="2"/>
      <c r="L61" s="20"/>
      <c r="M61" s="20"/>
      <c r="N61" s="2"/>
      <c r="O61" s="2"/>
      <c r="P61" s="2"/>
      <c r="Q61" s="2"/>
    </row>
    <row r="62" spans="3:5" ht="13.5" customHeight="1">
      <c r="C62" s="32" t="s">
        <v>84</v>
      </c>
      <c r="D62" s="120">
        <f>28/(1/B56+28/B57)</f>
        <v>28.9465925616332</v>
      </c>
      <c r="E62" t="s">
        <v>75</v>
      </c>
    </row>
    <row r="63" spans="3:17" ht="13.5">
      <c r="C63" s="67"/>
      <c r="D63" s="67"/>
      <c r="E63" s="67"/>
      <c r="F63" s="67"/>
      <c r="G63" s="67"/>
      <c r="H63" s="67"/>
      <c r="I63" s="67"/>
      <c r="J63" s="67"/>
      <c r="K63" s="67"/>
      <c r="L63" s="2"/>
      <c r="M63" s="2"/>
      <c r="N63" s="2"/>
      <c r="O63" s="2"/>
      <c r="P63" s="2"/>
      <c r="Q63" s="2"/>
    </row>
    <row r="64" spans="12:17" ht="13.5">
      <c r="L64" s="2"/>
      <c r="M64" s="2"/>
      <c r="N64" s="2"/>
      <c r="O64" s="2"/>
      <c r="P64" s="2"/>
      <c r="Q64" s="2"/>
    </row>
    <row r="65" spans="12:17" ht="13.5">
      <c r="L65" s="2"/>
      <c r="M65" s="2"/>
      <c r="N65" s="2"/>
      <c r="O65" s="2"/>
      <c r="P65" s="2"/>
      <c r="Q65" s="2"/>
    </row>
    <row r="66" spans="12:17" ht="13.5">
      <c r="L66" s="2"/>
      <c r="M66" s="2"/>
      <c r="N66" s="2"/>
      <c r="O66" s="2"/>
      <c r="P66" s="2"/>
      <c r="Q66" s="2"/>
    </row>
    <row r="67" spans="9:17" ht="13.5">
      <c r="I67" s="2"/>
      <c r="J67" s="2"/>
      <c r="K67" s="2"/>
      <c r="L67" s="2"/>
      <c r="M67" s="2"/>
      <c r="N67" s="2"/>
      <c r="O67" s="2"/>
      <c r="P67" s="2"/>
      <c r="Q67" s="2"/>
    </row>
    <row r="68" spans="9:17" ht="14.25" customHeight="1">
      <c r="I68" s="2"/>
      <c r="J68" s="2"/>
      <c r="K68" s="2"/>
      <c r="L68" s="2"/>
      <c r="M68" s="2"/>
      <c r="N68" s="2"/>
      <c r="O68" s="2"/>
      <c r="P68" s="2"/>
      <c r="Q68" s="2"/>
    </row>
    <row r="69" spans="9:17" ht="14.25" customHeight="1"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/>
    <row r="71" spans="10:14" ht="14.25" customHeight="1">
      <c r="J71" t="s">
        <v>9</v>
      </c>
      <c r="K71" t="s">
        <v>62</v>
      </c>
      <c r="M71" t="s">
        <v>9</v>
      </c>
      <c r="N71" t="s">
        <v>63</v>
      </c>
    </row>
    <row r="72" spans="10:14" ht="14.25" customHeight="1">
      <c r="J72">
        <v>2000</v>
      </c>
      <c r="K72">
        <f aca="true" t="shared" si="11" ref="K72:K91">E$56*EXP(E$57*J72)</f>
        <v>0.53207059461628</v>
      </c>
      <c r="M72" s="124">
        <f>U33</f>
        <v>3851.131063364017</v>
      </c>
      <c r="N72" s="125">
        <v>0</v>
      </c>
    </row>
    <row r="73" spans="10:14" ht="14.25" customHeight="1">
      <c r="J73">
        <v>2500</v>
      </c>
      <c r="K73">
        <f t="shared" si="11"/>
        <v>1.2165869515987564</v>
      </c>
      <c r="M73" s="124">
        <f>U33</f>
        <v>3851.131063364017</v>
      </c>
      <c r="N73" s="125">
        <v>80</v>
      </c>
    </row>
    <row r="74" spans="10:14" ht="13.5">
      <c r="J74">
        <v>3000</v>
      </c>
      <c r="K74">
        <f t="shared" si="11"/>
        <v>2.7817432983075596</v>
      </c>
      <c r="N74" s="125"/>
    </row>
    <row r="75" spans="10:14" ht="13.5">
      <c r="J75">
        <v>3500</v>
      </c>
      <c r="K75">
        <f t="shared" si="11"/>
        <v>6.360495456169523</v>
      </c>
      <c r="M75">
        <v>0</v>
      </c>
      <c r="N75" s="125">
        <f>S36</f>
        <v>11.369076033931053</v>
      </c>
    </row>
    <row r="76" spans="10:14" ht="13.5">
      <c r="J76">
        <v>4000</v>
      </c>
      <c r="K76">
        <f t="shared" si="11"/>
        <v>14.543362959683202</v>
      </c>
      <c r="M76" s="124">
        <f>U33</f>
        <v>3851.131063364017</v>
      </c>
      <c r="N76" s="125">
        <f>S36</f>
        <v>11.369076033931053</v>
      </c>
    </row>
    <row r="77" spans="10:11" ht="13.5">
      <c r="J77">
        <v>4100</v>
      </c>
      <c r="K77">
        <f t="shared" si="11"/>
        <v>17.159302175036075</v>
      </c>
    </row>
    <row r="78" spans="10:11" ht="13.5">
      <c r="J78">
        <v>4200</v>
      </c>
      <c r="K78">
        <f t="shared" si="11"/>
        <v>20.24577478747127</v>
      </c>
    </row>
    <row r="79" spans="10:11" ht="13.5">
      <c r="J79">
        <v>4300</v>
      </c>
      <c r="K79">
        <f t="shared" si="11"/>
        <v>23.88741643243112</v>
      </c>
    </row>
    <row r="80" spans="10:11" ht="13.5">
      <c r="J80">
        <v>4400</v>
      </c>
      <c r="K80">
        <f t="shared" si="11"/>
        <v>28.184086299798736</v>
      </c>
    </row>
    <row r="81" spans="10:11" ht="13.5">
      <c r="J81">
        <v>4500</v>
      </c>
      <c r="K81">
        <f t="shared" si="11"/>
        <v>33.253605420302016</v>
      </c>
    </row>
    <row r="82" spans="10:11" ht="13.5">
      <c r="J82">
        <v>4600</v>
      </c>
      <c r="K82">
        <f t="shared" si="11"/>
        <v>39.23498749210958</v>
      </c>
    </row>
    <row r="83" spans="10:11" ht="13.5">
      <c r="J83">
        <v>4700</v>
      </c>
      <c r="K83">
        <f t="shared" si="11"/>
        <v>46.29225084165364</v>
      </c>
    </row>
    <row r="84" spans="10:11" ht="13.5">
      <c r="J84">
        <v>4800</v>
      </c>
      <c r="K84">
        <f t="shared" si="11"/>
        <v>54.61891604827324</v>
      </c>
    </row>
    <row r="85" spans="10:11" ht="13.5">
      <c r="J85">
        <v>4900</v>
      </c>
      <c r="K85">
        <f t="shared" si="11"/>
        <v>64.44331256418442</v>
      </c>
    </row>
    <row r="86" spans="10:11" ht="13.5">
      <c r="J86">
        <v>5000</v>
      </c>
      <c r="K86">
        <f t="shared" si="11"/>
        <v>76.03483984513223</v>
      </c>
    </row>
    <row r="87" spans="10:11" ht="13.5">
      <c r="J87">
        <v>5100</v>
      </c>
      <c r="K87">
        <f t="shared" si="11"/>
        <v>89.7113546811678</v>
      </c>
    </row>
    <row r="88" spans="10:11" ht="13.5">
      <c r="J88">
        <v>5200</v>
      </c>
      <c r="K88">
        <f t="shared" si="11"/>
        <v>105.8478872990686</v>
      </c>
    </row>
    <row r="89" spans="10:11" ht="13.5">
      <c r="J89">
        <v>5300</v>
      </c>
      <c r="K89">
        <f t="shared" si="11"/>
        <v>124.88692524479521</v>
      </c>
    </row>
    <row r="90" spans="10:11" ht="13.5">
      <c r="J90">
        <v>5400</v>
      </c>
      <c r="K90">
        <f t="shared" si="11"/>
        <v>147.35054704522508</v>
      </c>
    </row>
    <row r="91" spans="10:11" ht="13.5">
      <c r="J91">
        <v>5500</v>
      </c>
      <c r="K91">
        <f t="shared" si="11"/>
        <v>173.85473837207772</v>
      </c>
    </row>
    <row r="96" spans="1:22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3.5">
      <c r="A97" s="56">
        <v>1</v>
      </c>
      <c r="B97" s="56">
        <v>2</v>
      </c>
      <c r="C97" s="56">
        <v>3</v>
      </c>
      <c r="D97" s="56">
        <v>4</v>
      </c>
      <c r="E97" s="56">
        <v>5</v>
      </c>
      <c r="F97" s="56">
        <v>6</v>
      </c>
      <c r="G97" s="56">
        <v>7</v>
      </c>
      <c r="H97" s="56">
        <v>8</v>
      </c>
      <c r="I97" s="56">
        <v>9</v>
      </c>
      <c r="J97" s="56">
        <v>10</v>
      </c>
      <c r="K97" s="56">
        <v>11</v>
      </c>
      <c r="L97" s="56">
        <v>12</v>
      </c>
      <c r="M97" s="56">
        <v>13</v>
      </c>
      <c r="N97" s="56">
        <v>14</v>
      </c>
      <c r="O97" s="56">
        <v>15</v>
      </c>
      <c r="P97" s="56">
        <v>16</v>
      </c>
      <c r="Q97" s="56">
        <v>17</v>
      </c>
      <c r="R97" s="56">
        <v>18</v>
      </c>
      <c r="S97" s="56">
        <v>19</v>
      </c>
      <c r="T97" s="56">
        <v>20</v>
      </c>
      <c r="U97" s="56"/>
      <c r="V97" s="56"/>
    </row>
    <row r="98" spans="1:40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 t="s">
        <v>71</v>
      </c>
      <c r="T100" s="56" t="s">
        <v>72</v>
      </c>
      <c r="U100" s="56"/>
      <c r="V100" s="5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>
        <v>43.259999971836805</v>
      </c>
      <c r="T101">
        <v>2332.1699136609222</v>
      </c>
      <c r="U101" s="56"/>
      <c r="V101" s="5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>
        <v>69.009999955073</v>
      </c>
      <c r="T102">
        <v>2377.665334444614</v>
      </c>
      <c r="U102" s="56"/>
      <c r="V102" s="56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ht="12.75" customHeight="1">
      <c r="A103" t="s">
        <v>49</v>
      </c>
      <c r="D103">
        <v>2932.55133696865</v>
      </c>
      <c r="E103" t="s">
        <v>50</v>
      </c>
      <c r="H103" s="3">
        <v>15</v>
      </c>
      <c r="L103" s="56"/>
      <c r="M103" s="56"/>
      <c r="N103" s="56"/>
      <c r="O103" s="56"/>
      <c r="P103" s="56"/>
      <c r="Q103" s="56"/>
      <c r="R103" s="56"/>
      <c r="S103">
        <v>94.75999993830919</v>
      </c>
      <c r="T103">
        <v>2416.1336648759934</v>
      </c>
      <c r="U103" s="56"/>
      <c r="V103" s="56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ht="12.75" customHeight="1">
      <c r="A104" t="s">
        <v>51</v>
      </c>
      <c r="D104">
        <v>2971.4135647507433</v>
      </c>
      <c r="E104" t="s">
        <v>52</v>
      </c>
      <c r="L104" s="56"/>
      <c r="M104" s="56"/>
      <c r="N104" s="56"/>
      <c r="O104" s="56"/>
      <c r="P104" s="56"/>
      <c r="Q104" s="56"/>
      <c r="R104" s="56"/>
      <c r="S104">
        <v>120.50999992154539</v>
      </c>
      <c r="T104">
        <v>2450.402068193513</v>
      </c>
      <c r="U104" s="56"/>
      <c r="V104" s="56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ht="12.75" customHeight="1">
      <c r="A105" t="s">
        <v>53</v>
      </c>
      <c r="L105" s="56"/>
      <c r="M105" s="56"/>
      <c r="N105" s="56"/>
      <c r="O105" s="56"/>
      <c r="P105" s="56"/>
      <c r="Q105" s="56"/>
      <c r="R105" s="56"/>
      <c r="S105">
        <v>146.25999990478158</v>
      </c>
      <c r="T105">
        <v>2481.8128678788385</v>
      </c>
      <c r="U105" s="56"/>
      <c r="V105" s="5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ht="12.75" customHeight="1">
      <c r="A106" t="s">
        <v>54</v>
      </c>
      <c r="D106">
        <v>0.11666582540289767</v>
      </c>
      <c r="F106" t="s">
        <v>55</v>
      </c>
      <c r="G106">
        <v>2831.414574267266</v>
      </c>
      <c r="H106" t="s">
        <v>56</v>
      </c>
      <c r="L106" s="56"/>
      <c r="M106" s="56"/>
      <c r="N106" s="56"/>
      <c r="O106" s="56"/>
      <c r="P106" s="56"/>
      <c r="Q106" s="56"/>
      <c r="R106" s="56"/>
      <c r="S106">
        <v>172.00999988801777</v>
      </c>
      <c r="T106">
        <v>2511.127543074544</v>
      </c>
      <c r="U106" s="56"/>
      <c r="V106" s="5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ht="12.75" customHeight="1">
      <c r="A107" t="s">
        <v>57</v>
      </c>
      <c r="C107">
        <v>630.0695679386996</v>
      </c>
      <c r="D107" t="s">
        <v>58</v>
      </c>
      <c r="F107">
        <v>2904.9221604720815</v>
      </c>
      <c r="G107" t="s">
        <v>59</v>
      </c>
      <c r="H107">
        <v>216.89722930004714</v>
      </c>
      <c r="I107" t="s">
        <v>60</v>
      </c>
      <c r="L107" s="56"/>
      <c r="M107" s="56"/>
      <c r="N107" s="56"/>
      <c r="O107" s="56"/>
      <c r="P107" s="56"/>
      <c r="Q107" s="56"/>
      <c r="R107" s="56"/>
      <c r="S107">
        <v>197.75999987125397</v>
      </c>
      <c r="T107">
        <v>2538.8268644256477</v>
      </c>
      <c r="U107" s="56"/>
      <c r="V107" s="5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2:40" ht="12.75" customHeight="1">
      <c r="L108" s="56"/>
      <c r="M108" s="56"/>
      <c r="N108" s="56"/>
      <c r="O108" s="56"/>
      <c r="P108" s="56"/>
      <c r="Q108" s="56"/>
      <c r="R108" s="56"/>
      <c r="S108">
        <v>249.25999983772635</v>
      </c>
      <c r="T108">
        <v>2590.591585872893</v>
      </c>
      <c r="U108" s="56"/>
      <c r="V108" s="5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ht="12.75" customHeight="1">
      <c r="A109" s="56" t="s">
        <v>25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>
        <v>300</v>
      </c>
      <c r="T109">
        <v>2638.0967823529236</v>
      </c>
      <c r="U109" s="56"/>
      <c r="V109" s="5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ht="12.75" customHeight="1">
      <c r="A110" s="56" t="s">
        <v>15</v>
      </c>
      <c r="B110" s="56" t="s">
        <v>16</v>
      </c>
      <c r="C110" s="56"/>
      <c r="D110" s="56" t="s">
        <v>28</v>
      </c>
      <c r="E110" s="56"/>
      <c r="F110" s="56" t="s">
        <v>17</v>
      </c>
      <c r="G110" s="56" t="s">
        <v>18</v>
      </c>
      <c r="H110" s="56" t="s">
        <v>26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>
        <v>350</v>
      </c>
      <c r="T110">
        <v>2682.4304564699464</v>
      </c>
      <c r="U110" s="56"/>
      <c r="V110" s="5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2.75" customHeight="1">
      <c r="A111">
        <v>0.46203999999999984</v>
      </c>
      <c r="B111">
        <v>1.472172399999998</v>
      </c>
      <c r="D111">
        <v>244.43005492367018</v>
      </c>
      <c r="F111">
        <v>2480.009765625</v>
      </c>
      <c r="G111">
        <v>0.25625381429286825</v>
      </c>
      <c r="H111">
        <v>6.842838935810272E-09</v>
      </c>
      <c r="J111" s="56"/>
      <c r="K111" s="56"/>
      <c r="L111" s="56"/>
      <c r="M111" s="56"/>
      <c r="N111" s="56"/>
      <c r="O111" s="56"/>
      <c r="P111" s="56"/>
      <c r="Q111" s="56"/>
      <c r="R111" s="56"/>
      <c r="S111">
        <v>400</v>
      </c>
      <c r="T111">
        <v>2724.882747810381</v>
      </c>
      <c r="U111" s="56"/>
      <c r="V111" s="5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ht="12.75" customHeight="1">
      <c r="A112" s="57" t="s">
        <v>19</v>
      </c>
      <c r="B112" s="57" t="s">
        <v>20</v>
      </c>
      <c r="C112" s="57"/>
      <c r="D112" s="57" t="s">
        <v>21</v>
      </c>
      <c r="E112" s="57"/>
      <c r="F112" s="57" t="s">
        <v>22</v>
      </c>
      <c r="G112" s="57" t="s">
        <v>23</v>
      </c>
      <c r="H112" s="57" t="s">
        <v>24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>
        <v>450</v>
      </c>
      <c r="T112">
        <v>2765.8514701928307</v>
      </c>
      <c r="U112" s="56"/>
      <c r="V112" s="5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ht="12.75" customHeight="1">
      <c r="A113" s="58"/>
      <c r="B113" s="58"/>
      <c r="C113" s="58"/>
      <c r="D113" s="58"/>
      <c r="E113" s="58"/>
      <c r="F113" s="58"/>
      <c r="G113" s="59">
        <v>0</v>
      </c>
      <c r="H113" s="59">
        <v>2164.314777941305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>
        <v>500</v>
      </c>
      <c r="T113">
        <v>2805.6252942062547</v>
      </c>
      <c r="U113" s="56"/>
      <c r="V113" s="56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ht="12.75" customHeight="1">
      <c r="A114" s="59">
        <v>43.259999971836805</v>
      </c>
      <c r="B114" s="141">
        <v>1.8200000340584666E-05</v>
      </c>
      <c r="C114" s="139"/>
      <c r="D114" s="141">
        <v>1.6119831941509175E-05</v>
      </c>
      <c r="E114" s="139"/>
      <c r="F114" s="60">
        <v>1.1891840230111919</v>
      </c>
      <c r="G114" s="59">
        <v>5.399502084752711</v>
      </c>
      <c r="H114" s="59">
        <v>2949.1879901929806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>
        <v>600</v>
      </c>
      <c r="T114">
        <v>2882.409143369831</v>
      </c>
      <c r="U114" s="56"/>
      <c r="V114" s="56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ht="12.75" customHeight="1">
      <c r="A115" s="59">
        <v>69.009999955073</v>
      </c>
      <c r="B115" s="141">
        <v>3.849999848171137E-05</v>
      </c>
      <c r="C115" s="139"/>
      <c r="D115" s="141">
        <v>2.463735980289806E-05</v>
      </c>
      <c r="E115" s="139"/>
      <c r="F115" s="60">
        <v>1.2454754553504037</v>
      </c>
      <c r="G115" s="59">
        <v>8.725305305689373</v>
      </c>
      <c r="H115" s="59">
        <v>3088.7912921152447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>
        <v>630.0695679386996</v>
      </c>
      <c r="T115">
        <v>2904.9221604720733</v>
      </c>
      <c r="U115" s="56"/>
      <c r="V115" s="5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ht="12.75" customHeight="1">
      <c r="A116" s="59">
        <v>94.75999993830919</v>
      </c>
      <c r="B116" s="141">
        <v>4.1700001020217314E-05</v>
      </c>
      <c r="C116" s="139"/>
      <c r="D116" s="141">
        <v>3.28374979961289E-05</v>
      </c>
      <c r="E116" s="139"/>
      <c r="F116" s="60">
        <v>1.2853557277611198</v>
      </c>
      <c r="G116" s="59">
        <v>12.05304662329228</v>
      </c>
      <c r="H116" s="59">
        <v>3187.694757149606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>
        <v>700</v>
      </c>
      <c r="T116">
        <v>2913.0806520492943</v>
      </c>
      <c r="U116" s="56"/>
      <c r="V116" s="56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ht="12.75" customHeight="1">
      <c r="A117" s="59">
        <v>120.50999992154539</v>
      </c>
      <c r="B117" s="141">
        <v>4.8499998229090124E-05</v>
      </c>
      <c r="C117" s="139"/>
      <c r="D117" s="141">
        <v>4.0816113879740975E-05</v>
      </c>
      <c r="E117" s="139"/>
      <c r="F117" s="60">
        <v>1.316490975973218</v>
      </c>
      <c r="G117" s="59">
        <v>15.381661803538513</v>
      </c>
      <c r="H117" s="59">
        <v>3264.9104767707677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>
        <v>800</v>
      </c>
      <c r="T117">
        <v>2924.747234589584</v>
      </c>
      <c r="U117" s="56"/>
      <c r="V117" s="56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ht="12.75" customHeight="1">
      <c r="A118" s="59">
        <v>146.25999990478158</v>
      </c>
      <c r="B118" s="141">
        <v>5.810000220662914E-05</v>
      </c>
      <c r="C118" s="139"/>
      <c r="D118" s="141">
        <v>4.862540565873149E-05</v>
      </c>
      <c r="E118" s="139"/>
      <c r="F118" s="60">
        <v>1.3421464571980126</v>
      </c>
      <c r="G118" s="59">
        <v>18.710765802375306</v>
      </c>
      <c r="H118" s="59">
        <v>3328.5363207500673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>
        <v>900</v>
      </c>
      <c r="T118">
        <v>2936.4138171298737</v>
      </c>
      <c r="U118" s="56"/>
      <c r="V118" s="56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ht="12.75" customHeight="1">
      <c r="A119" s="59">
        <v>172.00999988801777</v>
      </c>
      <c r="B119" s="141">
        <v>6.299999949987978E-05</v>
      </c>
      <c r="C119" s="139"/>
      <c r="D119" s="141">
        <v>5.629814602218612E-05</v>
      </c>
      <c r="E119" s="139"/>
      <c r="F119" s="60">
        <v>1.364028793688365</v>
      </c>
      <c r="G119" s="59">
        <v>22.040178715067967</v>
      </c>
      <c r="H119" s="59">
        <v>3382.8047289408337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>
        <v>1000</v>
      </c>
      <c r="T119">
        <v>2948.0803996701634</v>
      </c>
      <c r="U119" s="56"/>
      <c r="V119" s="56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ht="12.75" customHeight="1">
      <c r="A120" s="59">
        <v>197.75999987125397</v>
      </c>
      <c r="B120" s="141">
        <v>7.370000093942508E-05</v>
      </c>
      <c r="C120" s="139"/>
      <c r="D120" s="141">
        <v>6.385677763135264E-05</v>
      </c>
      <c r="E120" s="139"/>
      <c r="F120" s="60">
        <v>1.3831464880394428</v>
      </c>
      <c r="G120" s="59">
        <v>25.3698029360808</v>
      </c>
      <c r="H120" s="59">
        <v>3430.2167976277406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>
        <v>1100</v>
      </c>
      <c r="T120">
        <v>2959.746982210453</v>
      </c>
      <c r="U120" s="56"/>
      <c r="V120" s="5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ht="12.75" customHeight="1">
      <c r="A121" s="59">
        <v>249.25999983772635</v>
      </c>
      <c r="B121" s="141">
        <v>9.670000144978985E-05</v>
      </c>
      <c r="C121" s="139"/>
      <c r="D121" s="141">
        <v>7.869298170314594E-05</v>
      </c>
      <c r="E121" s="139"/>
      <c r="F121" s="60">
        <v>1.4154712598310524</v>
      </c>
      <c r="G121" s="59">
        <v>32.029472237323986</v>
      </c>
      <c r="H121" s="59">
        <v>3510.382547342532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>
        <v>1200</v>
      </c>
      <c r="T121">
        <v>2971.4135647507433</v>
      </c>
      <c r="U121" s="56"/>
      <c r="V121" s="5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ht="12.75" customHeight="1">
      <c r="A122" s="59">
        <v>300</v>
      </c>
      <c r="B122" s="141">
        <v>0.00012009999045403674</v>
      </c>
      <c r="C122" s="139"/>
      <c r="D122" s="144">
        <v>9.301170038569105E-05</v>
      </c>
      <c r="E122" s="140"/>
      <c r="F122" s="60">
        <v>1.4419037795310925</v>
      </c>
      <c r="G122" s="59">
        <v>38.591221740915636</v>
      </c>
      <c r="H122" s="59">
        <v>3575.9354543287063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>
        <v>1300</v>
      </c>
      <c r="T122">
        <v>2983.080147291033</v>
      </c>
      <c r="U122" s="56"/>
      <c r="V122" s="5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ht="12.75" customHeight="1">
      <c r="A123" s="59">
        <v>350</v>
      </c>
      <c r="B123" s="141">
        <v>0.00013339999713934958</v>
      </c>
      <c r="C123" s="139"/>
      <c r="D123" s="141">
        <v>0.00010688580431420583</v>
      </c>
      <c r="E123" s="139"/>
      <c r="F123" s="60">
        <v>1.464276202024255</v>
      </c>
      <c r="G123" s="59">
        <v>45.05750003072231</v>
      </c>
      <c r="H123" s="59">
        <v>3631.4192805924376</v>
      </c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>
        <v>1400</v>
      </c>
      <c r="T123">
        <v>2994.7467298313227</v>
      </c>
      <c r="U123" s="56"/>
      <c r="V123" s="56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ht="12.75" customHeight="1">
      <c r="A124" s="59">
        <v>400</v>
      </c>
      <c r="B124" s="141">
        <v>0.0001483999949414283</v>
      </c>
      <c r="C124" s="139"/>
      <c r="D124" s="141">
        <v>0.00012056280707452497</v>
      </c>
      <c r="E124" s="139"/>
      <c r="F124" s="60">
        <v>1.4839400752970475</v>
      </c>
      <c r="G124" s="59">
        <v>51.523935685287825</v>
      </c>
      <c r="H124" s="59">
        <v>3680.1858783389757</v>
      </c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>
        <v>1500</v>
      </c>
      <c r="T124">
        <v>3006.4133123716124</v>
      </c>
      <c r="U124" s="56"/>
      <c r="V124" s="5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ht="12.75" customHeight="1">
      <c r="A125" s="59">
        <v>450</v>
      </c>
      <c r="B125" s="141">
        <v>0.00015720000374130905</v>
      </c>
      <c r="C125" s="139"/>
      <c r="D125" s="141">
        <v>0.00013406977462803623</v>
      </c>
      <c r="E125" s="139"/>
      <c r="F125" s="60">
        <v>1.5015063154890975</v>
      </c>
      <c r="G125" s="59">
        <v>57.99048736864224</v>
      </c>
      <c r="H125" s="59">
        <v>3723.750325560574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>
        <v>1600</v>
      </c>
      <c r="T125">
        <v>3018.079894911902</v>
      </c>
      <c r="U125" s="56"/>
      <c r="V125" s="5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ht="12.75" customHeight="1">
      <c r="A126" s="59">
        <v>500</v>
      </c>
      <c r="B126" s="141">
        <v>0.0001745999907143414</v>
      </c>
      <c r="C126" s="139"/>
      <c r="D126" s="141">
        <v>0.0001474274539889707</v>
      </c>
      <c r="E126" s="139"/>
      <c r="F126" s="60">
        <v>1.517397658231047</v>
      </c>
      <c r="G126" s="59">
        <v>64.45712784811745</v>
      </c>
      <c r="H126" s="59">
        <v>3763.161010749503</v>
      </c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>
        <v>1700</v>
      </c>
      <c r="T126">
        <v>3029.746477452192</v>
      </c>
      <c r="U126" s="56"/>
      <c r="V126" s="56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ht="12.75" customHeight="1">
      <c r="A127" s="59">
        <v>600</v>
      </c>
      <c r="B127" s="141">
        <v>0.00020870000298600644</v>
      </c>
      <c r="C127" s="139"/>
      <c r="D127" s="141">
        <v>0.0001737573839040715</v>
      </c>
      <c r="E127" s="139"/>
      <c r="F127" s="60">
        <v>1.545298521939424</v>
      </c>
      <c r="G127" s="59">
        <v>77.39060515904669</v>
      </c>
      <c r="H127" s="59">
        <v>3832.3554252156496</v>
      </c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U127" s="56"/>
      <c r="V127" s="56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ht="12.75" customHeight="1">
      <c r="A128" s="59">
        <v>630.0695679386996</v>
      </c>
      <c r="B128" s="141">
        <v>0.00021689722780138254</v>
      </c>
      <c r="C128" s="139"/>
      <c r="D128" s="141">
        <v>0.00018158574761485623</v>
      </c>
      <c r="E128" s="139"/>
      <c r="F128" s="60">
        <v>1.5528693139615415</v>
      </c>
      <c r="G128" s="59">
        <v>81.27968574622538</v>
      </c>
      <c r="H128" s="59">
        <v>3851.131063364017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U128" s="56"/>
      <c r="V128" s="5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ht="12.75" customHeight="1">
      <c r="A129" s="59"/>
      <c r="B129" s="141"/>
      <c r="C129" s="139"/>
      <c r="D129" s="141"/>
      <c r="E129" s="139"/>
      <c r="F129" s="60"/>
      <c r="G129" s="59">
        <v>250</v>
      </c>
      <c r="H129" s="59">
        <v>3851.131063364017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ht="12.75" customHeight="1">
      <c r="A130" s="57"/>
      <c r="B130" s="57"/>
      <c r="C130" s="57"/>
      <c r="D130" s="57"/>
      <c r="E130" s="142"/>
      <c r="F130" s="57"/>
      <c r="G130" s="57"/>
      <c r="H130" s="57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U130" s="56"/>
      <c r="V130" s="5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18" ht="12.75" customHeight="1">
      <c r="A131" s="1"/>
      <c r="B131" s="1"/>
      <c r="C131" s="1"/>
      <c r="D131" s="1"/>
      <c r="E131" s="143"/>
      <c r="F131" s="1"/>
      <c r="G131" s="1"/>
      <c r="H131" s="1"/>
      <c r="R131" s="37"/>
    </row>
    <row r="132" spans="1:8" ht="12.75" customHeight="1">
      <c r="A132" s="1"/>
      <c r="B132" s="1"/>
      <c r="C132" s="1"/>
      <c r="D132" s="1"/>
      <c r="E132" s="143"/>
      <c r="F132" s="1"/>
      <c r="G132" s="1"/>
      <c r="H132" s="1"/>
    </row>
    <row r="133" spans="1:8" ht="12.75" customHeight="1">
      <c r="A133" s="1"/>
      <c r="B133" s="1"/>
      <c r="C133" s="1"/>
      <c r="D133" s="1"/>
      <c r="E133" s="143"/>
      <c r="F133" s="1"/>
      <c r="G133" s="1"/>
      <c r="H133" s="1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5" ht="13.5">
      <c r="B145" s="34"/>
    </row>
    <row r="146" ht="13.5">
      <c r="B146" s="34"/>
    </row>
    <row r="147" ht="13.5">
      <c r="B147" s="34"/>
    </row>
    <row r="148" ht="13.5">
      <c r="B148" s="34"/>
    </row>
    <row r="149" ht="13.5">
      <c r="B149" s="34"/>
    </row>
    <row r="150" ht="13.5">
      <c r="B150" s="34"/>
    </row>
    <row r="151" ht="13.5">
      <c r="B151" s="34"/>
    </row>
    <row r="152" ht="13.5">
      <c r="B152" s="34"/>
    </row>
    <row r="153" ht="13.5">
      <c r="B153" s="34"/>
    </row>
    <row r="154" ht="13.5">
      <c r="B154" s="34"/>
    </row>
    <row r="170" spans="1:12" ht="13.5">
      <c r="A170" t="s">
        <v>3</v>
      </c>
      <c r="G170" t="s">
        <v>4</v>
      </c>
      <c r="H170" s="10"/>
      <c r="I170" t="s">
        <v>5</v>
      </c>
      <c r="K170" s="11" t="e">
        <f>+(H178*10^-3)/((H170-13.3)*10^-6)</f>
        <v>#DIV/0!</v>
      </c>
      <c r="L170" t="s">
        <v>6</v>
      </c>
    </row>
    <row r="171" spans="1:27" ht="13.5">
      <c r="A171" s="1" t="s">
        <v>7</v>
      </c>
      <c r="B171" s="1">
        <v>10</v>
      </c>
      <c r="C171" s="1"/>
      <c r="D171" s="1">
        <v>20</v>
      </c>
      <c r="E171" s="1"/>
      <c r="F171" s="1">
        <v>30</v>
      </c>
      <c r="G171" s="1">
        <v>40</v>
      </c>
      <c r="H171" s="1">
        <v>50</v>
      </c>
      <c r="I171" s="1">
        <v>60</v>
      </c>
      <c r="J171" s="1">
        <v>70</v>
      </c>
      <c r="K171" s="1">
        <v>80</v>
      </c>
      <c r="L171" s="1">
        <v>90</v>
      </c>
      <c r="M171" s="1">
        <v>100</v>
      </c>
      <c r="N171" s="1">
        <v>110</v>
      </c>
      <c r="O171" s="1">
        <v>120</v>
      </c>
      <c r="P171" s="1">
        <v>130</v>
      </c>
      <c r="Q171" s="1">
        <v>140</v>
      </c>
      <c r="R171" s="1">
        <v>150</v>
      </c>
      <c r="S171" s="1">
        <v>160</v>
      </c>
      <c r="T171" s="1">
        <v>170</v>
      </c>
      <c r="U171" s="1">
        <v>180</v>
      </c>
      <c r="V171" s="1">
        <v>190</v>
      </c>
      <c r="W171" s="1">
        <v>200</v>
      </c>
      <c r="X171" s="1">
        <v>210</v>
      </c>
      <c r="Y171" s="1">
        <v>220</v>
      </c>
      <c r="Z171" s="1">
        <v>230</v>
      </c>
      <c r="AA171" s="1">
        <v>240</v>
      </c>
    </row>
    <row r="172" spans="1:27" ht="13.5">
      <c r="A172" s="1" t="s">
        <v>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3.5">
      <c r="A173" s="1" t="s">
        <v>9</v>
      </c>
      <c r="B173" s="7" t="e">
        <f>+($D$176*10^-3)/((B172-13.3)*10^-6)</f>
        <v>#DIV/0!</v>
      </c>
      <c r="C173" s="7"/>
      <c r="D173" s="7" t="e">
        <f>+($D$176*10^-3)/((D172-13.3)*10^-6)</f>
        <v>#DIV/0!</v>
      </c>
      <c r="E173" s="7"/>
      <c r="F173" s="7" t="e">
        <f aca="true" t="shared" si="12" ref="F173:AA173">+($D$176*10^-3)/((F172-13.3)*10^-6)</f>
        <v>#DIV/0!</v>
      </c>
      <c r="G173" s="7" t="e">
        <f t="shared" si="12"/>
        <v>#DIV/0!</v>
      </c>
      <c r="H173" s="7" t="e">
        <f t="shared" si="12"/>
        <v>#DIV/0!</v>
      </c>
      <c r="I173" s="7" t="e">
        <f t="shared" si="12"/>
        <v>#DIV/0!</v>
      </c>
      <c r="J173" s="7" t="e">
        <f t="shared" si="12"/>
        <v>#DIV/0!</v>
      </c>
      <c r="K173" s="7" t="e">
        <f t="shared" si="12"/>
        <v>#DIV/0!</v>
      </c>
      <c r="L173" s="7" t="e">
        <f t="shared" si="12"/>
        <v>#DIV/0!</v>
      </c>
      <c r="M173" s="7" t="e">
        <f t="shared" si="12"/>
        <v>#DIV/0!</v>
      </c>
      <c r="N173" s="7" t="e">
        <f t="shared" si="12"/>
        <v>#DIV/0!</v>
      </c>
      <c r="O173" s="7" t="e">
        <f t="shared" si="12"/>
        <v>#DIV/0!</v>
      </c>
      <c r="P173" s="7" t="e">
        <f t="shared" si="12"/>
        <v>#DIV/0!</v>
      </c>
      <c r="Q173" s="7" t="e">
        <f t="shared" si="12"/>
        <v>#DIV/0!</v>
      </c>
      <c r="R173" s="7" t="e">
        <f t="shared" si="12"/>
        <v>#DIV/0!</v>
      </c>
      <c r="S173" s="7" t="e">
        <f t="shared" si="12"/>
        <v>#DIV/0!</v>
      </c>
      <c r="T173" s="7" t="e">
        <f t="shared" si="12"/>
        <v>#DIV/0!</v>
      </c>
      <c r="U173" s="7" t="e">
        <f t="shared" si="12"/>
        <v>#DIV/0!</v>
      </c>
      <c r="V173" s="7" t="e">
        <f t="shared" si="12"/>
        <v>#DIV/0!</v>
      </c>
      <c r="W173" s="7" t="e">
        <f t="shared" si="12"/>
        <v>#DIV/0!</v>
      </c>
      <c r="X173" s="7" t="e">
        <f t="shared" si="12"/>
        <v>#DIV/0!</v>
      </c>
      <c r="Y173" s="7" t="e">
        <f t="shared" si="12"/>
        <v>#DIV/0!</v>
      </c>
      <c r="Z173" s="7" t="e">
        <f t="shared" si="12"/>
        <v>#DIV/0!</v>
      </c>
      <c r="AA173" s="7" t="e">
        <f t="shared" si="12"/>
        <v>#DIV/0!</v>
      </c>
    </row>
    <row r="174" spans="1:9" ht="13.5">
      <c r="A174" t="s">
        <v>10</v>
      </c>
      <c r="B174" t="s">
        <v>11</v>
      </c>
      <c r="D174" s="26"/>
      <c r="E174" s="8"/>
      <c r="F174" t="s">
        <v>68</v>
      </c>
      <c r="G174" t="s">
        <v>12</v>
      </c>
      <c r="H174" s="26"/>
      <c r="I174" t="s">
        <v>68</v>
      </c>
    </row>
    <row r="175" spans="4:9" ht="13.5">
      <c r="D175" s="27"/>
      <c r="E175" s="4"/>
      <c r="F175" t="s">
        <v>68</v>
      </c>
      <c r="H175" s="26"/>
      <c r="I175" t="s">
        <v>68</v>
      </c>
    </row>
    <row r="176" spans="2:9" ht="13.5">
      <c r="B176" t="s">
        <v>13</v>
      </c>
      <c r="D176" s="28" t="e">
        <f>AVERAGE(D174:D175)</f>
        <v>#DIV/0!</v>
      </c>
      <c r="E176" s="9"/>
      <c r="F176" t="s">
        <v>68</v>
      </c>
      <c r="H176" s="26"/>
      <c r="I176" t="s">
        <v>68</v>
      </c>
    </row>
    <row r="177" spans="8:9" ht="13.5">
      <c r="H177" s="26"/>
      <c r="I177" t="s">
        <v>68</v>
      </c>
    </row>
    <row r="178" spans="7:9" ht="13.5">
      <c r="G178" t="s">
        <v>13</v>
      </c>
      <c r="H178" s="28" t="e">
        <f>AVERAGE(H174:H177)</f>
        <v>#DIV/0!</v>
      </c>
      <c r="I178" t="s">
        <v>68</v>
      </c>
    </row>
    <row r="181" spans="1:8" ht="13.5">
      <c r="A181">
        <v>297.9146048802904</v>
      </c>
      <c r="B181">
        <v>7.519057544413954E-05</v>
      </c>
      <c r="D181">
        <v>7.50061910908888E-05</v>
      </c>
      <c r="F181">
        <v>1.4427443214665863</v>
      </c>
      <c r="G181">
        <v>36.87066550020419</v>
      </c>
      <c r="H181">
        <v>4355.693010127673</v>
      </c>
    </row>
  </sheetData>
  <sheetProtection/>
  <mergeCells count="44">
    <mergeCell ref="B58:C58"/>
    <mergeCell ref="E58:F58"/>
    <mergeCell ref="B59:C59"/>
    <mergeCell ref="B60:C60"/>
    <mergeCell ref="B53:C53"/>
    <mergeCell ref="D53:E53"/>
    <mergeCell ref="B56:C56"/>
    <mergeCell ref="E56:F56"/>
    <mergeCell ref="B57:C57"/>
    <mergeCell ref="E57:F57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Q42:T42"/>
    <mergeCell ref="B44:C44"/>
    <mergeCell ref="D44:E44"/>
    <mergeCell ref="B45:C45"/>
    <mergeCell ref="D45:E45"/>
    <mergeCell ref="B46:C46"/>
    <mergeCell ref="D46:E46"/>
    <mergeCell ref="E41:G41"/>
    <mergeCell ref="N41:P41"/>
    <mergeCell ref="A42:A43"/>
    <mergeCell ref="B42:C43"/>
    <mergeCell ref="D42:E43"/>
    <mergeCell ref="F42:I42"/>
    <mergeCell ref="J42:M42"/>
    <mergeCell ref="N42:P42"/>
    <mergeCell ref="A1:C1"/>
    <mergeCell ref="D1:F1"/>
    <mergeCell ref="G1:I1"/>
    <mergeCell ref="J1:L1"/>
    <mergeCell ref="M1:O1"/>
    <mergeCell ref="A2:C2"/>
    <mergeCell ref="D2:N2"/>
  </mergeCells>
  <printOptions horizontalCentered="1"/>
  <pageMargins left="0.3937007874015748" right="0.2362204724409449" top="1.1811023622047245" bottom="0.31496062992125984" header="0.9448818897637796" footer="0.2755905511811024"/>
  <pageSetup horizontalDpi="600" verticalDpi="600" orientation="landscape" paperSize="9" scale="110" r:id="rId2"/>
  <headerFooter alignWithMargins="0">
    <oddHeader>&amp;L&amp;D&amp;R&amp;F&amp;A</oddHeader>
  </headerFooter>
  <rowBreaks count="1" manualBreakCount="1">
    <brk id="34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超音波法による強度推定ワークシート</dc:title>
  <dc:subject/>
  <dc:creator/>
  <cp:keywords/>
  <dc:description/>
  <cp:lastModifiedBy>加藤　祐哉</cp:lastModifiedBy>
  <cp:lastPrinted>2009-12-29T03:26:02Z</cp:lastPrinted>
  <dcterms:created xsi:type="dcterms:W3CDTF">2005-07-08T07:40:46Z</dcterms:created>
  <dcterms:modified xsi:type="dcterms:W3CDTF">2023-06-29T04:16:15Z</dcterms:modified>
  <cp:category/>
  <cp:version/>
  <cp:contentType/>
  <cp:contentStatus/>
</cp:coreProperties>
</file>